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omments2.xml" ContentType="application/vnd.openxmlformats-officedocument.spreadsheetml.comments+xml"/>
  <Override PartName="/xl/drawings/drawing2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1.bin" ContentType="application/vnd.openxmlformats-officedocument.spreadsheetml.customProperty"/>
  <Override PartName="/xl/drawings/drawing29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0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5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pivotTables/pivotTable1.xml" ContentType="application/vnd.openxmlformats-officedocument.spreadsheetml.pivotTable+xml"/>
  <Override PartName="/xl/drawings/drawing45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46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6" windowHeight="7656" activeTab="1"/>
  </bookViews>
  <sheets>
    <sheet name="Obsah" sheetId="79" r:id="rId1"/>
    <sheet name="Vzorce a funkce" sheetId="43" r:id="rId2"/>
    <sheet name="odkazy" sheetId="75" r:id="rId3"/>
    <sheet name="řazení II" sheetId="68" r:id="rId4"/>
    <sheet name="řady" sheetId="67" r:id="rId5"/>
    <sheet name="List3" sheetId="87" r:id="rId6"/>
    <sheet name="List5" sheetId="88" r:id="rId7"/>
    <sheet name="Operátory" sheetId="69" r:id="rId8"/>
    <sheet name="mocnina" sheetId="70" r:id="rId9"/>
    <sheet name="Styl buňky" sheetId="1" r:id="rId10"/>
    <sheet name="Styl buňky 2" sheetId="35" r:id="rId11"/>
    <sheet name="Posuvníky (2)" sheetId="66" r:id="rId12"/>
    <sheet name="Práce s daty" sheetId="36" r:id="rId13"/>
    <sheet name="Vlastní formát" sheetId="37" r:id="rId14"/>
    <sheet name="Podmíněné formátování" sheetId="2" r:id="rId15"/>
    <sheet name="List2" sheetId="86" r:id="rId16"/>
    <sheet name="PF2" sheetId="34" r:id="rId17"/>
    <sheet name="Přesun kopie" sheetId="38" r:id="rId18"/>
    <sheet name="Příčky" sheetId="40" r:id="rId19"/>
    <sheet name="Příčky (2)" sheetId="41" r:id="rId20"/>
    <sheet name="Skrýt-Zobrazit" sheetId="39" r:id="rId21"/>
    <sheet name="Vložit jinak (1)" sheetId="42" r:id="rId22"/>
    <sheet name="Vložit jinak (1r)" sheetId="49" state="hidden" r:id="rId23"/>
    <sheet name=" Vložit jinak (2)" sheetId="3" r:id="rId24"/>
    <sheet name=" Vložit jinak (2r)" sheetId="50" state="hidden" r:id="rId25"/>
    <sheet name="OSVČ_2014" sheetId="4" r:id="rId26"/>
    <sheet name="leden" sheetId="5" r:id="rId27"/>
    <sheet name="únor" sheetId="6" r:id="rId28"/>
    <sheet name="březen" sheetId="7" r:id="rId29"/>
    <sheet name="celkem" sheetId="8" r:id="rId30"/>
    <sheet name="Datumy" sheetId="9" r:id="rId31"/>
    <sheet name="List4" sheetId="65" state="hidden" r:id="rId32"/>
    <sheet name="Text-fce" sheetId="10" r:id="rId33"/>
    <sheet name="Text (2)" sheetId="78" r:id="rId34"/>
    <sheet name="Logické-fce" sheetId="11" r:id="rId35"/>
    <sheet name="Logické-fce (2)" sheetId="51" state="hidden" r:id="rId36"/>
    <sheet name="Podmíněné-fce" sheetId="12" r:id="rId37"/>
    <sheet name="COUNTIF (2)" sheetId="77" r:id="rId38"/>
    <sheet name="Když" sheetId="72" r:id="rId39"/>
    <sheet name="RČ-když" sheetId="74" r:id="rId40"/>
    <sheet name="Zaokrouhli" sheetId="13" r:id="rId41"/>
    <sheet name="Finanční-fce" sheetId="14" r:id="rId42"/>
    <sheet name="Pořadí" sheetId="15" r:id="rId43"/>
    <sheet name="Vyhledávací-fce" sheetId="16" r:id="rId44"/>
    <sheet name="Vnořená_fce" sheetId="17" r:id="rId45"/>
    <sheet name="Kontrola vzorců" sheetId="18" r:id="rId46"/>
    <sheet name="Graf 1" sheetId="44" r:id="rId47"/>
    <sheet name="Porovnání" sheetId="45" r:id="rId48"/>
    <sheet name="Porovnání (2)" sheetId="52" state="hidden" r:id="rId49"/>
    <sheet name="Graf 2" sheetId="19" r:id="rId50"/>
    <sheet name="Graf 3" sheetId="47" r:id="rId51"/>
    <sheet name="Graf 4" sheetId="46" r:id="rId52"/>
    <sheet name="Graf 4 (2)" sheetId="61" state="hidden" r:id="rId53"/>
    <sheet name="Graf 5" sheetId="53" r:id="rId54"/>
    <sheet name="Seznamy" sheetId="20" r:id="rId55"/>
    <sheet name="Ověření" sheetId="21" r:id="rId56"/>
    <sheet name="Řazení" sheetId="22" r:id="rId57"/>
    <sheet name="Filtrování" sheetId="23" r:id="rId58"/>
    <sheet name="Filtrování (2)" sheetId="54" state="hidden" r:id="rId59"/>
    <sheet name="Databáze" sheetId="24" r:id="rId60"/>
    <sheet name="Přehledy" sheetId="25" r:id="rId61"/>
    <sheet name="Přehledy (2)" sheetId="55" state="hidden" r:id="rId62"/>
    <sheet name="Souhrny" sheetId="26" r:id="rId63"/>
    <sheet name="Souhrny (2)" sheetId="56" state="hidden" r:id="rId64"/>
    <sheet name="Import dat" sheetId="27" r:id="rId65"/>
    <sheet name="List1" sheetId="62" state="hidden" r:id="rId66"/>
    <sheet name="KT1" sheetId="28" r:id="rId67"/>
    <sheet name="KT1a" sheetId="57" r:id="rId68"/>
    <sheet name="KT1c" sheetId="63" r:id="rId69"/>
    <sheet name="KT2" sheetId="48" r:id="rId70"/>
    <sheet name="KT2a" sheetId="58" r:id="rId71"/>
    <sheet name="KT3" sheetId="59" r:id="rId72"/>
    <sheet name="KT3a" sheetId="60" r:id="rId73"/>
    <sheet name="KT4" sheetId="64" r:id="rId74"/>
    <sheet name="Graf-porovnání" sheetId="80" r:id="rId75"/>
    <sheet name="Ověření (2)" sheetId="81" r:id="rId76"/>
    <sheet name="Filtrování (3)" sheetId="82" r:id="rId77"/>
    <sheet name="Filtrování (4)" sheetId="83" r:id="rId78"/>
    <sheet name="Souhrn dat" sheetId="85" r:id="rId79"/>
  </sheets>
  <externalReferences>
    <externalReference r:id="rId80"/>
    <externalReference r:id="rId81"/>
    <externalReference r:id="rId82"/>
    <externalReference r:id="rId83"/>
  </externalReferences>
  <definedNames>
    <definedName name="_xlnm._FilterDatabase" localSheetId="59" hidden="1">Databáze!$A$3:$L$40</definedName>
    <definedName name="_xlnm._FilterDatabase" localSheetId="57" hidden="1">Filtrování!$A$3:$L$32</definedName>
    <definedName name="_xlnm._FilterDatabase" localSheetId="58" hidden="1">'Filtrování (2)'!$A$3:$L$16</definedName>
    <definedName name="_xlnm._FilterDatabase" localSheetId="76" hidden="1">'Filtrování (3)'!$A$3:$L$32</definedName>
    <definedName name="_xlnm._FilterDatabase" localSheetId="77" hidden="1">'Filtrování (4)'!$A$3:$L$32</definedName>
    <definedName name="_xlnm._FilterDatabase" localSheetId="46" hidden="1">'Graf 1'!$B$6:$D$9</definedName>
    <definedName name="_xlnm._FilterDatabase" localSheetId="71" hidden="1">'KT3'!$A$2:$L$31</definedName>
    <definedName name="_xlnm._FilterDatabase" localSheetId="25" hidden="1">OSVČ_2014!$A$1:$D$101</definedName>
    <definedName name="_xlnm._FilterDatabase" localSheetId="55" hidden="1">Ověření!$A$3:$L$16</definedName>
    <definedName name="_xlnm._FilterDatabase" localSheetId="75" hidden="1">'Ověření (2)'!$A$3:$H$115</definedName>
    <definedName name="_xlnm._FilterDatabase" localSheetId="78" hidden="1">'Souhrn dat'!$A$3:$K$32</definedName>
    <definedName name="abcd" localSheetId="78">#REF!</definedName>
    <definedName name="abcd">#REF!</definedName>
    <definedName name="Cena_bez_DPH" localSheetId="2">[1]DPH!$D$2:$D$201</definedName>
    <definedName name="Cena_bez_DPH" localSheetId="33">[1]DPH!$D$2:$D$201</definedName>
    <definedName name="Cena_bez_DPH">[2]DPH!$D$2:$D$201</definedName>
    <definedName name="Dan">[3]OSVČ_2014!$Q$2</definedName>
    <definedName name="datum" localSheetId="76">#REF!</definedName>
    <definedName name="datum" localSheetId="77">#REF!</definedName>
    <definedName name="datum" localSheetId="74">#REF!</definedName>
    <definedName name="datum" localSheetId="75">#REF!</definedName>
    <definedName name="datum" localSheetId="78">#REF!</definedName>
    <definedName name="datum">#REF!</definedName>
    <definedName name="DPH" localSheetId="38">[2]DPH!$E$2:$E$201</definedName>
    <definedName name="DPH" localSheetId="8">[2]DPH!$E$2:$E$201</definedName>
    <definedName name="DPH" localSheetId="2">[1]DPH!$E$2:$E$201</definedName>
    <definedName name="DPH" localSheetId="7">[2]DPH!$E$2:$E$201</definedName>
    <definedName name="DPH" localSheetId="39">[2]DPH!$E$2:$E$201</definedName>
    <definedName name="DPH" localSheetId="4">[2]DPH!$E$2:$E$201</definedName>
    <definedName name="DPH" localSheetId="3">[2]DPH!$E$2:$E$201</definedName>
    <definedName name="DPH" localSheetId="33">[1]DPH!$E$2:$E$201</definedName>
    <definedName name="DPH">leden!$B$1</definedName>
    <definedName name="DPHn">leden!$B$2</definedName>
    <definedName name="_xlnm.Extract" localSheetId="59">Databáze!$A$91:$L$91</definedName>
    <definedName name="_xlnm.Extract" localSheetId="57">Filtrování!#REF!</definedName>
    <definedName name="_xlnm.Extract" localSheetId="58">'Filtrování (2)'!#REF!</definedName>
    <definedName name="_xlnm.Extract" localSheetId="76">'Filtrování (3)'!#REF!</definedName>
    <definedName name="_xlnm.Extract" localSheetId="77">'Filtrování (4)'!#REF!</definedName>
    <definedName name="_xlnm.Extract" localSheetId="71">'KT3'!$A$101:$L$101</definedName>
    <definedName name="_xlnm.Extract" localSheetId="78">'Souhrn dat'!#REF!</definedName>
    <definedName name="Hranice" localSheetId="35">'Logické-fce (2)'!$C$2</definedName>
    <definedName name="Hranice">'Logické-fce'!$C$2</definedName>
    <definedName name="_xlnm.Criteria" localSheetId="59">Databáze!$B$48:$C$49</definedName>
    <definedName name="_xlnm.Criteria" localSheetId="57">Filtrování!$L$40:$N$43</definedName>
    <definedName name="_xlnm.Criteria" localSheetId="58">'Filtrování (2)'!$L$18:$N$19</definedName>
    <definedName name="_xlnm.Criteria" localSheetId="76">'Filtrování (3)'!#REF!</definedName>
    <definedName name="_xlnm.Criteria" localSheetId="77">'Filtrování (4)'!#REF!</definedName>
    <definedName name="_xlnm.Criteria" localSheetId="71">'KT3'!$P$12:$Q$15</definedName>
    <definedName name="_xlnm.Criteria" localSheetId="78">'Souhrn dat'!#REF!</definedName>
    <definedName name="Letos">[3]OSVČ_2014!$Q$4</definedName>
    <definedName name="Narozen">[3]OSVČ_2014!$B$2:$B$101</definedName>
    <definedName name="Plán" localSheetId="35">'Logické-fce (2)'!$G$2</definedName>
    <definedName name="Plán">'Logické-fce'!$G$2</definedName>
    <definedName name="platy" localSheetId="37">[4]seznam!$J$6:$J$15</definedName>
    <definedName name="platy" localSheetId="33">[4]seznam!$J$6:$J$15</definedName>
    <definedName name="platy">odkazy!$J$6:$J$15</definedName>
    <definedName name="pohlavi" localSheetId="76">#REF!</definedName>
    <definedName name="pohlavi" localSheetId="77">#REF!</definedName>
    <definedName name="pohlavi" localSheetId="74">#REF!</definedName>
    <definedName name="pohlavi" localSheetId="75">#REF!</definedName>
    <definedName name="pohlavi" localSheetId="78">#REF!</definedName>
    <definedName name="pohlavi">#REF!</definedName>
    <definedName name="seznam_export" localSheetId="64">'Import dat'!#REF!</definedName>
    <definedName name="Sleva">[3]OSVČ_2014!$Q$3</definedName>
    <definedName name="Zaklad">[3]OSVČ_2014!$H$2:$H$101</definedName>
  </definedNames>
  <calcPr calcId="162913"/>
  <pivotCaches>
    <pivotCache cacheId="0" r:id="rId84"/>
    <pivotCache cacheId="1" r:id="rId85"/>
    <pivotCache cacheId="2" r:id="rId86"/>
  </pivotCaches>
</workbook>
</file>

<file path=xl/calcChain.xml><?xml version="1.0" encoding="utf-8"?>
<calcChain xmlns="http://schemas.openxmlformats.org/spreadsheetml/2006/main">
  <c r="G4" i="87" l="1"/>
  <c r="G5" i="87"/>
  <c r="G6" i="87"/>
  <c r="G7" i="87"/>
  <c r="G8" i="87"/>
  <c r="G9" i="87"/>
  <c r="G3" i="87"/>
  <c r="F9" i="87"/>
  <c r="F8" i="87"/>
  <c r="F7" i="87"/>
  <c r="F6" i="87"/>
  <c r="F5" i="87"/>
  <c r="F4" i="87"/>
  <c r="F3" i="87"/>
  <c r="D33" i="13" l="1"/>
  <c r="D32" i="13"/>
  <c r="D31" i="13"/>
  <c r="D30" i="13"/>
  <c r="D29" i="13"/>
  <c r="D28" i="13"/>
  <c r="C53" i="78" l="1"/>
  <c r="C52" i="78"/>
  <c r="D39" i="78"/>
  <c r="D30" i="78"/>
  <c r="C22" i="78"/>
  <c r="E21" i="78"/>
  <c r="D20" i="78"/>
  <c r="D19" i="78"/>
  <c r="D18" i="78"/>
  <c r="D17" i="78"/>
  <c r="D16" i="78"/>
  <c r="D14" i="78"/>
  <c r="D13" i="78"/>
  <c r="D12" i="78"/>
  <c r="D11" i="78"/>
  <c r="D10" i="78"/>
  <c r="D15" i="77"/>
  <c r="D14" i="77"/>
  <c r="D13" i="77"/>
  <c r="H12" i="77"/>
  <c r="F12" i="77"/>
  <c r="D12" i="77"/>
  <c r="J15" i="75" l="1"/>
  <c r="J14" i="75"/>
  <c r="J13" i="75"/>
  <c r="J12" i="75"/>
  <c r="J11" i="75"/>
  <c r="J10" i="75"/>
  <c r="J9" i="75"/>
  <c r="J8" i="75"/>
  <c r="J7" i="75"/>
  <c r="K18" i="75" s="1"/>
  <c r="J6" i="75"/>
  <c r="K20" i="75" s="1"/>
  <c r="C5" i="75"/>
  <c r="C6" i="75" s="1"/>
  <c r="C7" i="75" s="1"/>
  <c r="C8" i="75" s="1"/>
  <c r="C9" i="75" s="1"/>
  <c r="C10" i="75" s="1"/>
  <c r="C11" i="75" s="1"/>
  <c r="C12" i="75" s="1"/>
  <c r="C13" i="75" s="1"/>
  <c r="C14" i="75" s="1"/>
  <c r="C15" i="75" s="1"/>
  <c r="C16" i="75" s="1"/>
  <c r="C17" i="75" s="1"/>
  <c r="C18" i="75" s="1"/>
  <c r="C19" i="75" s="1"/>
  <c r="C4" i="75"/>
  <c r="K19" i="75" l="1"/>
  <c r="K12" i="74" l="1"/>
  <c r="H12" i="74"/>
  <c r="F12" i="74"/>
  <c r="G12" i="74" s="1"/>
  <c r="K11" i="74"/>
  <c r="H11" i="74"/>
  <c r="F11" i="74"/>
  <c r="G11" i="74" s="1"/>
  <c r="K10" i="74"/>
  <c r="H10" i="74"/>
  <c r="F10" i="74"/>
  <c r="G10" i="74" s="1"/>
  <c r="K9" i="74"/>
  <c r="H9" i="74"/>
  <c r="F9" i="74"/>
  <c r="G9" i="74" s="1"/>
  <c r="K8" i="74"/>
  <c r="H8" i="74"/>
  <c r="F8" i="74"/>
  <c r="G8" i="74" s="1"/>
  <c r="K7" i="74"/>
  <c r="H7" i="74"/>
  <c r="F7" i="74"/>
  <c r="G7" i="74" s="1"/>
  <c r="K6" i="74"/>
  <c r="H6" i="74"/>
  <c r="F6" i="74"/>
  <c r="G6" i="74" s="1"/>
  <c r="K5" i="74"/>
  <c r="H5" i="74"/>
  <c r="F5" i="74"/>
  <c r="G5" i="74" s="1"/>
  <c r="K4" i="74"/>
  <c r="H4" i="74"/>
  <c r="F4" i="74"/>
  <c r="G4" i="74" s="1"/>
  <c r="K3" i="74"/>
  <c r="H3" i="74"/>
  <c r="F3" i="74"/>
  <c r="G3" i="74" s="1"/>
  <c r="K13" i="72"/>
  <c r="H13" i="72"/>
  <c r="I13" i="72" s="1"/>
  <c r="J13" i="72" s="1"/>
  <c r="E13" i="72"/>
  <c r="D13" i="72"/>
  <c r="K12" i="72"/>
  <c r="J12" i="72"/>
  <c r="I12" i="72"/>
  <c r="H12" i="72"/>
  <c r="E12" i="72"/>
  <c r="D12" i="72"/>
  <c r="K11" i="72"/>
  <c r="H11" i="72"/>
  <c r="I11" i="72" s="1"/>
  <c r="J11" i="72" s="1"/>
  <c r="E11" i="72"/>
  <c r="D11" i="72"/>
  <c r="K10" i="72"/>
  <c r="J10" i="72"/>
  <c r="I10" i="72"/>
  <c r="H10" i="72"/>
  <c r="E10" i="72"/>
  <c r="D10" i="72"/>
  <c r="K9" i="72"/>
  <c r="H9" i="72"/>
  <c r="I9" i="72" s="1"/>
  <c r="J9" i="72" s="1"/>
  <c r="E9" i="72"/>
  <c r="D9" i="72"/>
  <c r="K8" i="72"/>
  <c r="I8" i="72"/>
  <c r="J8" i="72" s="1"/>
  <c r="H8" i="72"/>
  <c r="E8" i="72"/>
  <c r="D8" i="72"/>
  <c r="K7" i="72"/>
  <c r="H7" i="72"/>
  <c r="I7" i="72" s="1"/>
  <c r="J7" i="72" s="1"/>
  <c r="E7" i="72"/>
  <c r="D7" i="72"/>
  <c r="K6" i="72"/>
  <c r="I6" i="72"/>
  <c r="J6" i="72" s="1"/>
  <c r="H6" i="72"/>
  <c r="E6" i="72"/>
  <c r="D6" i="72"/>
  <c r="K5" i="72"/>
  <c r="H5" i="72"/>
  <c r="I5" i="72" s="1"/>
  <c r="J5" i="72" s="1"/>
  <c r="E5" i="72"/>
  <c r="D5" i="72"/>
  <c r="K4" i="72"/>
  <c r="I4" i="72"/>
  <c r="J4" i="72" s="1"/>
  <c r="H4" i="72"/>
  <c r="E4" i="72"/>
  <c r="D4" i="72"/>
  <c r="K3" i="72"/>
  <c r="H3" i="72"/>
  <c r="I3" i="72" s="1"/>
  <c r="J3" i="72" s="1"/>
  <c r="E3" i="72"/>
  <c r="D3" i="72"/>
  <c r="K2" i="72"/>
  <c r="I2" i="72"/>
  <c r="J2" i="72" s="1"/>
  <c r="H2" i="72"/>
  <c r="E2" i="72"/>
  <c r="D2" i="72"/>
  <c r="C6" i="70"/>
  <c r="C5" i="70"/>
  <c r="C4" i="70"/>
  <c r="C3" i="70"/>
  <c r="B27" i="69" l="1"/>
  <c r="B20" i="69"/>
  <c r="B14" i="69"/>
  <c r="F5" i="69"/>
  <c r="C4" i="67"/>
  <c r="C5" i="67" s="1"/>
  <c r="C6" i="67" s="1"/>
  <c r="C7" i="67" s="1"/>
  <c r="C8" i="67" s="1"/>
  <c r="C9" i="67" s="1"/>
  <c r="C10" i="67" s="1"/>
  <c r="C11" i="67" s="1"/>
  <c r="C12" i="67" s="1"/>
  <c r="C13" i="67" s="1"/>
  <c r="C14" i="67" s="1"/>
  <c r="C15" i="67" s="1"/>
  <c r="C16" i="67" s="1"/>
  <c r="C17" i="67" s="1"/>
  <c r="C18" i="67" s="1"/>
  <c r="C19" i="67" s="1"/>
  <c r="B9" i="66" l="1"/>
  <c r="F23" i="65" l="1"/>
  <c r="F22" i="65"/>
  <c r="F21" i="65"/>
  <c r="F20" i="65"/>
  <c r="F18" i="65"/>
  <c r="F19" i="65"/>
  <c r="F25" i="65"/>
  <c r="F24" i="65"/>
  <c r="F14" i="65"/>
  <c r="F7" i="65"/>
  <c r="F6" i="65"/>
  <c r="F5" i="65"/>
  <c r="F4" i="65"/>
  <c r="F3" i="65"/>
  <c r="D20" i="10" l="1"/>
  <c r="D19" i="10"/>
  <c r="C18" i="10"/>
  <c r="C17" i="10"/>
  <c r="C16" i="10"/>
  <c r="I16" i="10"/>
  <c r="B15" i="10"/>
  <c r="B6" i="10"/>
  <c r="B12" i="10"/>
  <c r="D51" i="9"/>
  <c r="D50" i="9"/>
  <c r="D49" i="9"/>
  <c r="D48" i="9"/>
  <c r="D47" i="9"/>
  <c r="D31" i="9"/>
  <c r="F22" i="9"/>
  <c r="F21" i="9"/>
  <c r="F18" i="9"/>
  <c r="F17" i="9"/>
  <c r="F16" i="9"/>
  <c r="F15" i="9"/>
  <c r="E9" i="9"/>
  <c r="D9" i="9"/>
  <c r="C9" i="9"/>
  <c r="G9" i="9"/>
  <c r="F9" i="9"/>
  <c r="B7" i="10" l="1"/>
  <c r="B8" i="10"/>
  <c r="B14" i="10"/>
  <c r="B9" i="10"/>
  <c r="B13" i="10"/>
  <c r="H101" i="4"/>
  <c r="I101" i="4"/>
  <c r="J101" i="4"/>
  <c r="K101" i="4"/>
  <c r="H3" i="4"/>
  <c r="I3" i="4"/>
  <c r="J3" i="4"/>
  <c r="K3" i="4"/>
  <c r="H4" i="4"/>
  <c r="I4" i="4"/>
  <c r="J4" i="4"/>
  <c r="K4" i="4"/>
  <c r="H5" i="4"/>
  <c r="I5" i="4"/>
  <c r="J5" i="4"/>
  <c r="K5" i="4"/>
  <c r="H6" i="4"/>
  <c r="I6" i="4"/>
  <c r="J6" i="4"/>
  <c r="K6" i="4"/>
  <c r="H7" i="4"/>
  <c r="I7" i="4"/>
  <c r="J7" i="4"/>
  <c r="K7" i="4"/>
  <c r="H8" i="4"/>
  <c r="I8" i="4"/>
  <c r="J8" i="4"/>
  <c r="K8" i="4"/>
  <c r="H9" i="4"/>
  <c r="I9" i="4"/>
  <c r="J9" i="4"/>
  <c r="K9" i="4"/>
  <c r="H10" i="4"/>
  <c r="I10" i="4"/>
  <c r="J10" i="4"/>
  <c r="K10" i="4"/>
  <c r="H11" i="4"/>
  <c r="I11" i="4"/>
  <c r="J11" i="4"/>
  <c r="K11" i="4"/>
  <c r="H12" i="4"/>
  <c r="I12" i="4"/>
  <c r="J12" i="4"/>
  <c r="K12" i="4"/>
  <c r="H13" i="4"/>
  <c r="I13" i="4"/>
  <c r="J13" i="4"/>
  <c r="K13" i="4"/>
  <c r="H14" i="4"/>
  <c r="I14" i="4"/>
  <c r="J14" i="4"/>
  <c r="K14" i="4"/>
  <c r="H15" i="4"/>
  <c r="I15" i="4"/>
  <c r="J15" i="4"/>
  <c r="K15" i="4"/>
  <c r="H16" i="4"/>
  <c r="I16" i="4"/>
  <c r="J16" i="4"/>
  <c r="K16" i="4"/>
  <c r="H17" i="4"/>
  <c r="I17" i="4"/>
  <c r="J17" i="4"/>
  <c r="K17" i="4"/>
  <c r="H18" i="4"/>
  <c r="I18" i="4"/>
  <c r="J18" i="4"/>
  <c r="K18" i="4"/>
  <c r="H19" i="4"/>
  <c r="I19" i="4"/>
  <c r="J19" i="4"/>
  <c r="K19" i="4"/>
  <c r="H20" i="4"/>
  <c r="I20" i="4"/>
  <c r="J20" i="4"/>
  <c r="K20" i="4"/>
  <c r="H21" i="4"/>
  <c r="I21" i="4"/>
  <c r="J21" i="4"/>
  <c r="K21" i="4"/>
  <c r="H22" i="4"/>
  <c r="I22" i="4"/>
  <c r="J22" i="4"/>
  <c r="K22" i="4"/>
  <c r="H23" i="4"/>
  <c r="I23" i="4"/>
  <c r="J23" i="4"/>
  <c r="K23" i="4"/>
  <c r="H24" i="4"/>
  <c r="I24" i="4"/>
  <c r="J24" i="4"/>
  <c r="K24" i="4"/>
  <c r="H25" i="4"/>
  <c r="I25" i="4"/>
  <c r="J25" i="4"/>
  <c r="K25" i="4"/>
  <c r="H26" i="4"/>
  <c r="I26" i="4"/>
  <c r="J26" i="4"/>
  <c r="K26" i="4"/>
  <c r="H27" i="4"/>
  <c r="I27" i="4"/>
  <c r="J27" i="4"/>
  <c r="K27" i="4"/>
  <c r="H28" i="4"/>
  <c r="I28" i="4"/>
  <c r="J28" i="4"/>
  <c r="K28" i="4"/>
  <c r="H29" i="4"/>
  <c r="I29" i="4"/>
  <c r="J29" i="4"/>
  <c r="K29" i="4"/>
  <c r="H30" i="4"/>
  <c r="I30" i="4"/>
  <c r="J30" i="4"/>
  <c r="K30" i="4"/>
  <c r="H31" i="4"/>
  <c r="I31" i="4"/>
  <c r="J31" i="4"/>
  <c r="K31" i="4"/>
  <c r="H32" i="4"/>
  <c r="I32" i="4"/>
  <c r="J32" i="4"/>
  <c r="K32" i="4"/>
  <c r="H33" i="4"/>
  <c r="I33" i="4"/>
  <c r="J33" i="4"/>
  <c r="K33" i="4"/>
  <c r="H34" i="4"/>
  <c r="I34" i="4"/>
  <c r="J34" i="4"/>
  <c r="K34" i="4"/>
  <c r="H35" i="4"/>
  <c r="I35" i="4"/>
  <c r="J35" i="4"/>
  <c r="K35" i="4"/>
  <c r="H36" i="4"/>
  <c r="I36" i="4"/>
  <c r="J36" i="4"/>
  <c r="K36" i="4"/>
  <c r="H37" i="4"/>
  <c r="I37" i="4"/>
  <c r="J37" i="4"/>
  <c r="K37" i="4"/>
  <c r="H38" i="4"/>
  <c r="I38" i="4"/>
  <c r="J38" i="4"/>
  <c r="K38" i="4"/>
  <c r="H39" i="4"/>
  <c r="I39" i="4"/>
  <c r="J39" i="4"/>
  <c r="K39" i="4"/>
  <c r="H40" i="4"/>
  <c r="I40" i="4"/>
  <c r="J40" i="4"/>
  <c r="K40" i="4"/>
  <c r="H41" i="4"/>
  <c r="I41" i="4"/>
  <c r="J41" i="4"/>
  <c r="K41" i="4"/>
  <c r="H42" i="4"/>
  <c r="I42" i="4"/>
  <c r="J42" i="4"/>
  <c r="K42" i="4"/>
  <c r="H43" i="4"/>
  <c r="I43" i="4"/>
  <c r="J43" i="4"/>
  <c r="K43" i="4"/>
  <c r="H44" i="4"/>
  <c r="I44" i="4"/>
  <c r="J44" i="4"/>
  <c r="K44" i="4"/>
  <c r="H45" i="4"/>
  <c r="I45" i="4"/>
  <c r="J45" i="4"/>
  <c r="K45" i="4"/>
  <c r="H46" i="4"/>
  <c r="I46" i="4"/>
  <c r="J46" i="4"/>
  <c r="K46" i="4"/>
  <c r="H47" i="4"/>
  <c r="I47" i="4"/>
  <c r="J47" i="4"/>
  <c r="K47" i="4"/>
  <c r="H48" i="4"/>
  <c r="I48" i="4"/>
  <c r="J48" i="4"/>
  <c r="K48" i="4"/>
  <c r="H49" i="4"/>
  <c r="I49" i="4"/>
  <c r="J49" i="4"/>
  <c r="K49" i="4"/>
  <c r="H50" i="4"/>
  <c r="I50" i="4"/>
  <c r="J50" i="4"/>
  <c r="K50" i="4"/>
  <c r="H51" i="4"/>
  <c r="I51" i="4"/>
  <c r="J51" i="4"/>
  <c r="K51" i="4"/>
  <c r="H52" i="4"/>
  <c r="I52" i="4"/>
  <c r="J52" i="4"/>
  <c r="K52" i="4"/>
  <c r="H53" i="4"/>
  <c r="I53" i="4"/>
  <c r="J53" i="4"/>
  <c r="K53" i="4"/>
  <c r="H54" i="4"/>
  <c r="I54" i="4"/>
  <c r="J54" i="4"/>
  <c r="K54" i="4"/>
  <c r="H55" i="4"/>
  <c r="I55" i="4"/>
  <c r="J55" i="4"/>
  <c r="K55" i="4"/>
  <c r="H56" i="4"/>
  <c r="I56" i="4"/>
  <c r="J56" i="4"/>
  <c r="K56" i="4"/>
  <c r="H57" i="4"/>
  <c r="I57" i="4"/>
  <c r="J57" i="4"/>
  <c r="K57" i="4"/>
  <c r="H58" i="4"/>
  <c r="I58" i="4"/>
  <c r="J58" i="4"/>
  <c r="K58" i="4"/>
  <c r="H59" i="4"/>
  <c r="I59" i="4"/>
  <c r="J59" i="4"/>
  <c r="K59" i="4"/>
  <c r="H60" i="4"/>
  <c r="I60" i="4"/>
  <c r="J60" i="4"/>
  <c r="K60" i="4"/>
  <c r="H61" i="4"/>
  <c r="I61" i="4"/>
  <c r="J61" i="4"/>
  <c r="K61" i="4"/>
  <c r="H62" i="4"/>
  <c r="I62" i="4"/>
  <c r="J62" i="4"/>
  <c r="K62" i="4"/>
  <c r="H63" i="4"/>
  <c r="I63" i="4"/>
  <c r="J63" i="4"/>
  <c r="K63" i="4"/>
  <c r="H64" i="4"/>
  <c r="I64" i="4"/>
  <c r="J64" i="4"/>
  <c r="K64" i="4"/>
  <c r="H65" i="4"/>
  <c r="I65" i="4"/>
  <c r="J65" i="4"/>
  <c r="K65" i="4"/>
  <c r="H66" i="4"/>
  <c r="I66" i="4"/>
  <c r="J66" i="4"/>
  <c r="K66" i="4"/>
  <c r="H67" i="4"/>
  <c r="I67" i="4"/>
  <c r="J67" i="4"/>
  <c r="K67" i="4"/>
  <c r="H68" i="4"/>
  <c r="I68" i="4"/>
  <c r="J68" i="4"/>
  <c r="K68" i="4"/>
  <c r="H69" i="4"/>
  <c r="I69" i="4"/>
  <c r="J69" i="4"/>
  <c r="K69" i="4"/>
  <c r="H70" i="4"/>
  <c r="I70" i="4"/>
  <c r="J70" i="4"/>
  <c r="K70" i="4"/>
  <c r="H71" i="4"/>
  <c r="I71" i="4"/>
  <c r="J71" i="4"/>
  <c r="K71" i="4"/>
  <c r="H72" i="4"/>
  <c r="I72" i="4"/>
  <c r="J72" i="4"/>
  <c r="K72" i="4"/>
  <c r="H73" i="4"/>
  <c r="I73" i="4"/>
  <c r="J73" i="4"/>
  <c r="K73" i="4"/>
  <c r="H74" i="4"/>
  <c r="I74" i="4"/>
  <c r="J74" i="4"/>
  <c r="K74" i="4"/>
  <c r="H75" i="4"/>
  <c r="I75" i="4"/>
  <c r="J75" i="4"/>
  <c r="K75" i="4"/>
  <c r="H76" i="4"/>
  <c r="I76" i="4"/>
  <c r="J76" i="4"/>
  <c r="K76" i="4"/>
  <c r="H77" i="4"/>
  <c r="I77" i="4"/>
  <c r="J77" i="4"/>
  <c r="K77" i="4"/>
  <c r="H78" i="4"/>
  <c r="I78" i="4"/>
  <c r="J78" i="4"/>
  <c r="K78" i="4"/>
  <c r="H79" i="4"/>
  <c r="I79" i="4"/>
  <c r="J79" i="4"/>
  <c r="K79" i="4"/>
  <c r="H80" i="4"/>
  <c r="I80" i="4"/>
  <c r="J80" i="4"/>
  <c r="K80" i="4"/>
  <c r="H81" i="4"/>
  <c r="I81" i="4"/>
  <c r="J81" i="4"/>
  <c r="K81" i="4"/>
  <c r="H82" i="4"/>
  <c r="I82" i="4"/>
  <c r="J82" i="4"/>
  <c r="K82" i="4"/>
  <c r="H83" i="4"/>
  <c r="I83" i="4"/>
  <c r="J83" i="4"/>
  <c r="K83" i="4"/>
  <c r="H84" i="4"/>
  <c r="I84" i="4"/>
  <c r="J84" i="4"/>
  <c r="K84" i="4"/>
  <c r="H85" i="4"/>
  <c r="I85" i="4"/>
  <c r="J85" i="4"/>
  <c r="K85" i="4"/>
  <c r="H86" i="4"/>
  <c r="I86" i="4"/>
  <c r="J86" i="4"/>
  <c r="K86" i="4"/>
  <c r="H87" i="4"/>
  <c r="I87" i="4"/>
  <c r="J87" i="4"/>
  <c r="K87" i="4"/>
  <c r="H88" i="4"/>
  <c r="I88" i="4"/>
  <c r="J88" i="4"/>
  <c r="K88" i="4"/>
  <c r="H89" i="4"/>
  <c r="I89" i="4"/>
  <c r="J89" i="4"/>
  <c r="K89" i="4"/>
  <c r="H90" i="4"/>
  <c r="I90" i="4"/>
  <c r="J90" i="4"/>
  <c r="K90" i="4"/>
  <c r="H91" i="4"/>
  <c r="I91" i="4"/>
  <c r="J91" i="4"/>
  <c r="K91" i="4"/>
  <c r="H92" i="4"/>
  <c r="I92" i="4"/>
  <c r="J92" i="4"/>
  <c r="K92" i="4"/>
  <c r="H93" i="4"/>
  <c r="I93" i="4"/>
  <c r="J93" i="4"/>
  <c r="K93" i="4"/>
  <c r="H94" i="4"/>
  <c r="I94" i="4"/>
  <c r="J94" i="4"/>
  <c r="K94" i="4"/>
  <c r="H95" i="4"/>
  <c r="I95" i="4"/>
  <c r="J95" i="4"/>
  <c r="K95" i="4"/>
  <c r="H96" i="4"/>
  <c r="I96" i="4"/>
  <c r="J96" i="4"/>
  <c r="K96" i="4"/>
  <c r="H97" i="4"/>
  <c r="I97" i="4"/>
  <c r="J97" i="4"/>
  <c r="K97" i="4"/>
  <c r="H98" i="4"/>
  <c r="I98" i="4"/>
  <c r="J98" i="4"/>
  <c r="K98" i="4"/>
  <c r="H99" i="4"/>
  <c r="I99" i="4"/>
  <c r="J99" i="4"/>
  <c r="K99" i="4"/>
  <c r="H100" i="4"/>
  <c r="I100" i="4"/>
  <c r="J100" i="4"/>
  <c r="K100" i="4"/>
  <c r="F3" i="4"/>
  <c r="G3" i="4" s="1"/>
  <c r="F4" i="4"/>
  <c r="G4" i="4" s="1"/>
  <c r="F5" i="4"/>
  <c r="G5" i="4" s="1"/>
  <c r="F6" i="4"/>
  <c r="G6" i="4" s="1"/>
  <c r="F7" i="4"/>
  <c r="G7" i="4" s="1"/>
  <c r="F8" i="4"/>
  <c r="G8" i="4" s="1"/>
  <c r="F9" i="4"/>
  <c r="G9" i="4" s="1"/>
  <c r="F10" i="4"/>
  <c r="G10" i="4" s="1"/>
  <c r="F11" i="4"/>
  <c r="G11" i="4" s="1"/>
  <c r="F12" i="4"/>
  <c r="G12" i="4" s="1"/>
  <c r="F13" i="4"/>
  <c r="G13" i="4" s="1"/>
  <c r="F14" i="4"/>
  <c r="G14" i="4" s="1"/>
  <c r="F15" i="4"/>
  <c r="G15" i="4" s="1"/>
  <c r="F16" i="4"/>
  <c r="G16" i="4" s="1"/>
  <c r="F17" i="4"/>
  <c r="G17" i="4" s="1"/>
  <c r="F18" i="4"/>
  <c r="G18" i="4" s="1"/>
  <c r="F19" i="4"/>
  <c r="G19" i="4" s="1"/>
  <c r="F20" i="4"/>
  <c r="G20" i="4" s="1"/>
  <c r="F21" i="4"/>
  <c r="G21" i="4" s="1"/>
  <c r="F22" i="4"/>
  <c r="G22" i="4" s="1"/>
  <c r="F23" i="4"/>
  <c r="G23" i="4" s="1"/>
  <c r="F24" i="4"/>
  <c r="G24" i="4" s="1"/>
  <c r="F25" i="4"/>
  <c r="G25" i="4" s="1"/>
  <c r="F26" i="4"/>
  <c r="G26" i="4" s="1"/>
  <c r="F27" i="4"/>
  <c r="G27" i="4" s="1"/>
  <c r="F28" i="4"/>
  <c r="G28" i="4" s="1"/>
  <c r="F29" i="4"/>
  <c r="G29" i="4" s="1"/>
  <c r="F30" i="4"/>
  <c r="G30" i="4" s="1"/>
  <c r="F31" i="4"/>
  <c r="G31" i="4" s="1"/>
  <c r="F32" i="4"/>
  <c r="G32" i="4" s="1"/>
  <c r="F33" i="4"/>
  <c r="G33" i="4" s="1"/>
  <c r="F34" i="4"/>
  <c r="G34" i="4" s="1"/>
  <c r="F35" i="4"/>
  <c r="G35" i="4" s="1"/>
  <c r="F36" i="4"/>
  <c r="G36" i="4" s="1"/>
  <c r="F37" i="4"/>
  <c r="G37" i="4" s="1"/>
  <c r="F38" i="4"/>
  <c r="G38" i="4" s="1"/>
  <c r="F39" i="4"/>
  <c r="G39" i="4" s="1"/>
  <c r="F40" i="4"/>
  <c r="G40" i="4" s="1"/>
  <c r="F41" i="4"/>
  <c r="G41" i="4" s="1"/>
  <c r="F42" i="4"/>
  <c r="G42" i="4" s="1"/>
  <c r="F43" i="4"/>
  <c r="G43" i="4" s="1"/>
  <c r="F44" i="4"/>
  <c r="G44" i="4" s="1"/>
  <c r="F45" i="4"/>
  <c r="G45" i="4" s="1"/>
  <c r="F46" i="4"/>
  <c r="G46" i="4" s="1"/>
  <c r="F47" i="4"/>
  <c r="G47" i="4" s="1"/>
  <c r="F48" i="4"/>
  <c r="G48" i="4" s="1"/>
  <c r="F49" i="4"/>
  <c r="G49" i="4" s="1"/>
  <c r="F50" i="4"/>
  <c r="G50" i="4" s="1"/>
  <c r="F51" i="4"/>
  <c r="G51" i="4" s="1"/>
  <c r="F52" i="4"/>
  <c r="G52" i="4" s="1"/>
  <c r="F53" i="4"/>
  <c r="G53" i="4" s="1"/>
  <c r="F54" i="4"/>
  <c r="G54" i="4" s="1"/>
  <c r="F55" i="4"/>
  <c r="G55" i="4" s="1"/>
  <c r="F56" i="4"/>
  <c r="G56" i="4" s="1"/>
  <c r="F57" i="4"/>
  <c r="G57" i="4" s="1"/>
  <c r="F58" i="4"/>
  <c r="G58" i="4" s="1"/>
  <c r="F59" i="4"/>
  <c r="G59" i="4" s="1"/>
  <c r="F60" i="4"/>
  <c r="G60" i="4" s="1"/>
  <c r="F61" i="4"/>
  <c r="G61" i="4" s="1"/>
  <c r="F62" i="4"/>
  <c r="G62" i="4" s="1"/>
  <c r="F63" i="4"/>
  <c r="G63" i="4" s="1"/>
  <c r="F64" i="4"/>
  <c r="G64" i="4" s="1"/>
  <c r="F65" i="4"/>
  <c r="G65" i="4" s="1"/>
  <c r="F66" i="4"/>
  <c r="G66" i="4" s="1"/>
  <c r="F67" i="4"/>
  <c r="G67" i="4" s="1"/>
  <c r="F68" i="4"/>
  <c r="G68" i="4" s="1"/>
  <c r="F69" i="4"/>
  <c r="G69" i="4" s="1"/>
  <c r="F70" i="4"/>
  <c r="G70" i="4" s="1"/>
  <c r="F71" i="4"/>
  <c r="G71" i="4" s="1"/>
  <c r="F72" i="4"/>
  <c r="G72" i="4" s="1"/>
  <c r="F73" i="4"/>
  <c r="G73" i="4" s="1"/>
  <c r="F74" i="4"/>
  <c r="G74" i="4" s="1"/>
  <c r="F75" i="4"/>
  <c r="G75" i="4" s="1"/>
  <c r="F76" i="4"/>
  <c r="G76" i="4" s="1"/>
  <c r="F77" i="4"/>
  <c r="G77" i="4" s="1"/>
  <c r="F78" i="4"/>
  <c r="G78" i="4" s="1"/>
  <c r="F79" i="4"/>
  <c r="G79" i="4" s="1"/>
  <c r="F80" i="4"/>
  <c r="G80" i="4" s="1"/>
  <c r="F81" i="4"/>
  <c r="G81" i="4" s="1"/>
  <c r="F82" i="4"/>
  <c r="G82" i="4" s="1"/>
  <c r="F83" i="4"/>
  <c r="G83" i="4" s="1"/>
  <c r="F84" i="4"/>
  <c r="G84" i="4" s="1"/>
  <c r="F85" i="4"/>
  <c r="G85" i="4" s="1"/>
  <c r="F86" i="4"/>
  <c r="G86" i="4" s="1"/>
  <c r="F87" i="4"/>
  <c r="G87" i="4" s="1"/>
  <c r="F88" i="4"/>
  <c r="G88" i="4" s="1"/>
  <c r="F89" i="4"/>
  <c r="G89" i="4" s="1"/>
  <c r="F90" i="4"/>
  <c r="G90" i="4" s="1"/>
  <c r="F91" i="4"/>
  <c r="G91" i="4" s="1"/>
  <c r="F92" i="4"/>
  <c r="G92" i="4" s="1"/>
  <c r="F93" i="4"/>
  <c r="G93" i="4" s="1"/>
  <c r="F94" i="4"/>
  <c r="G94" i="4" s="1"/>
  <c r="F95" i="4"/>
  <c r="G95" i="4" s="1"/>
  <c r="F96" i="4"/>
  <c r="G96" i="4" s="1"/>
  <c r="F97" i="4"/>
  <c r="G97" i="4" s="1"/>
  <c r="F98" i="4"/>
  <c r="G98" i="4" s="1"/>
  <c r="F99" i="4"/>
  <c r="G99" i="4" s="1"/>
  <c r="F100" i="4"/>
  <c r="G100" i="4" s="1"/>
  <c r="F101" i="4"/>
  <c r="G101" i="4" s="1"/>
  <c r="B11" i="10" l="1"/>
  <c r="B10" i="10"/>
  <c r="D8" i="11"/>
  <c r="N7" i="4"/>
  <c r="N6" i="4"/>
  <c r="N5" i="4"/>
  <c r="N4" i="4"/>
  <c r="J2" i="4"/>
  <c r="I2" i="4"/>
  <c r="H2" i="4"/>
  <c r="K2" i="4"/>
  <c r="F2" i="4"/>
  <c r="G2" i="4" s="1"/>
  <c r="K43" i="24" l="1"/>
  <c r="K42" i="24"/>
  <c r="H89" i="24"/>
  <c r="D44" i="24"/>
  <c r="H101" i="24" l="1"/>
  <c r="H100" i="24"/>
  <c r="Q10" i="61"/>
  <c r="Q8" i="61"/>
  <c r="Q7" i="61"/>
  <c r="Q10" i="46"/>
  <c r="Q8" i="46"/>
  <c r="Q7" i="46"/>
  <c r="G110" i="59"/>
  <c r="G99" i="59"/>
  <c r="G85" i="59"/>
  <c r="G76" i="59"/>
  <c r="G68" i="59"/>
  <c r="G50" i="59"/>
  <c r="H22" i="56"/>
  <c r="G22" i="56"/>
  <c r="H19" i="56"/>
  <c r="G19" i="56"/>
  <c r="H16" i="56"/>
  <c r="G16" i="56"/>
  <c r="H12" i="56"/>
  <c r="G12" i="56"/>
  <c r="H7" i="56"/>
  <c r="H23" i="56" s="1"/>
  <c r="G7" i="56"/>
  <c r="G23" i="56" s="1"/>
  <c r="D43" i="24"/>
  <c r="D42" i="24"/>
  <c r="G89" i="24"/>
  <c r="G83" i="24"/>
  <c r="G4" i="16" l="1"/>
  <c r="E5" i="13"/>
  <c r="D5" i="13"/>
  <c r="G8" i="51"/>
  <c r="E8" i="51"/>
  <c r="F8" i="51"/>
  <c r="D8" i="51"/>
  <c r="L12" i="49"/>
  <c r="K12" i="49"/>
  <c r="J12" i="49"/>
  <c r="G10" i="49"/>
  <c r="G9" i="49"/>
  <c r="G8" i="49"/>
  <c r="G5" i="49"/>
  <c r="G4" i="49"/>
  <c r="G3" i="49"/>
  <c r="D11" i="44" l="1"/>
  <c r="D9" i="44" s="1"/>
  <c r="D8" i="44"/>
  <c r="D7" i="44"/>
  <c r="F4" i="17" l="1"/>
  <c r="H5" i="12"/>
  <c r="D6" i="9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G20" i="7"/>
  <c r="F20" i="7"/>
  <c r="E20" i="7"/>
  <c r="D20" i="7"/>
  <c r="G19" i="7"/>
  <c r="F19" i="7"/>
  <c r="E19" i="7"/>
  <c r="D19" i="7"/>
  <c r="G18" i="7"/>
  <c r="F18" i="7"/>
  <c r="E18" i="7"/>
  <c r="D18" i="7"/>
  <c r="G17" i="7"/>
  <c r="F17" i="7"/>
  <c r="E17" i="7"/>
  <c r="D17" i="7"/>
  <c r="G16" i="7"/>
  <c r="F16" i="7"/>
  <c r="E16" i="7"/>
  <c r="D16" i="7"/>
  <c r="G15" i="7"/>
  <c r="F15" i="7"/>
  <c r="E15" i="7"/>
  <c r="D15" i="7"/>
  <c r="G14" i="7"/>
  <c r="F14" i="7"/>
  <c r="E14" i="7"/>
  <c r="D14" i="7"/>
  <c r="G13" i="7"/>
  <c r="F13" i="7"/>
  <c r="E13" i="7"/>
  <c r="D13" i="7"/>
  <c r="G12" i="7"/>
  <c r="F12" i="7"/>
  <c r="E12" i="7"/>
  <c r="D12" i="7"/>
  <c r="G11" i="7"/>
  <c r="F11" i="7"/>
  <c r="E11" i="7"/>
  <c r="D11" i="7"/>
  <c r="G10" i="7"/>
  <c r="F10" i="7"/>
  <c r="E10" i="7"/>
  <c r="D10" i="7"/>
  <c r="G9" i="7"/>
  <c r="F9" i="7"/>
  <c r="E9" i="7"/>
  <c r="D9" i="7"/>
  <c r="G8" i="7"/>
  <c r="F8" i="7"/>
  <c r="E8" i="7"/>
  <c r="D8" i="7"/>
  <c r="G7" i="7"/>
  <c r="F7" i="7"/>
  <c r="E7" i="7"/>
  <c r="D7" i="7"/>
  <c r="G6" i="7"/>
  <c r="F6" i="7"/>
  <c r="E6" i="7"/>
  <c r="D6" i="7"/>
  <c r="G5" i="7"/>
  <c r="F5" i="7"/>
  <c r="E5" i="7"/>
  <c r="D5" i="7"/>
  <c r="G4" i="7"/>
  <c r="F4" i="7"/>
  <c r="E4" i="7"/>
  <c r="D4" i="7"/>
  <c r="G3" i="7"/>
  <c r="F3" i="7"/>
  <c r="E3" i="7"/>
  <c r="D3" i="7"/>
  <c r="G2" i="7"/>
  <c r="F2" i="7"/>
  <c r="E2" i="7"/>
  <c r="D2" i="7"/>
  <c r="G20" i="6"/>
  <c r="F20" i="6"/>
  <c r="E20" i="6"/>
  <c r="D20" i="6"/>
  <c r="G19" i="6"/>
  <c r="F19" i="6"/>
  <c r="E19" i="6"/>
  <c r="D19" i="6"/>
  <c r="G18" i="6"/>
  <c r="F18" i="6"/>
  <c r="E18" i="6"/>
  <c r="D18" i="6"/>
  <c r="G17" i="6"/>
  <c r="F17" i="6"/>
  <c r="E17" i="6"/>
  <c r="D17" i="6"/>
  <c r="G16" i="6"/>
  <c r="F16" i="6"/>
  <c r="E16" i="6"/>
  <c r="D16" i="6"/>
  <c r="G15" i="6"/>
  <c r="F15" i="6"/>
  <c r="E15" i="6"/>
  <c r="D15" i="6"/>
  <c r="G14" i="6"/>
  <c r="F14" i="6"/>
  <c r="E14" i="6"/>
  <c r="D14" i="6"/>
  <c r="G13" i="6"/>
  <c r="F13" i="6"/>
  <c r="E13" i="6"/>
  <c r="D13" i="6"/>
  <c r="G12" i="6"/>
  <c r="F12" i="6"/>
  <c r="E12" i="6"/>
  <c r="D12" i="6"/>
  <c r="G11" i="6"/>
  <c r="F11" i="6"/>
  <c r="E11" i="6"/>
  <c r="D11" i="6"/>
  <c r="G10" i="6"/>
  <c r="F10" i="6"/>
  <c r="E10" i="6"/>
  <c r="D10" i="6"/>
  <c r="G9" i="6"/>
  <c r="F9" i="6"/>
  <c r="E9" i="6"/>
  <c r="D9" i="6"/>
  <c r="G8" i="6"/>
  <c r="F8" i="6"/>
  <c r="E8" i="6"/>
  <c r="D8" i="6"/>
  <c r="G7" i="6"/>
  <c r="F7" i="6"/>
  <c r="E7" i="6"/>
  <c r="D7" i="6"/>
  <c r="G6" i="6"/>
  <c r="F6" i="6"/>
  <c r="E6" i="6"/>
  <c r="D6" i="6"/>
  <c r="G5" i="6"/>
  <c r="F5" i="6"/>
  <c r="E5" i="6"/>
  <c r="D5" i="6"/>
  <c r="G4" i="6"/>
  <c r="F4" i="6"/>
  <c r="E4" i="6"/>
  <c r="D4" i="6"/>
  <c r="G3" i="6"/>
  <c r="F3" i="6"/>
  <c r="E3" i="6"/>
  <c r="D3" i="6"/>
  <c r="G2" i="6"/>
  <c r="F2" i="6"/>
  <c r="E2" i="6"/>
  <c r="D2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" i="5"/>
  <c r="G3" i="5"/>
  <c r="G4" i="5"/>
  <c r="G5" i="5"/>
  <c r="G6" i="5"/>
  <c r="G7" i="5"/>
  <c r="G8" i="5"/>
  <c r="E9" i="8" s="1"/>
  <c r="G9" i="5"/>
  <c r="G10" i="5"/>
  <c r="G11" i="5"/>
  <c r="G12" i="5"/>
  <c r="E13" i="8" s="1"/>
  <c r="G13" i="5"/>
  <c r="G14" i="5"/>
  <c r="G15" i="5"/>
  <c r="G16" i="5"/>
  <c r="E17" i="8" s="1"/>
  <c r="G17" i="5"/>
  <c r="G18" i="5"/>
  <c r="G19" i="5"/>
  <c r="G20" i="5"/>
  <c r="E21" i="8" s="1"/>
  <c r="G2" i="5"/>
  <c r="G4" i="42"/>
  <c r="G5" i="42"/>
  <c r="G3" i="42"/>
  <c r="G32" i="39"/>
  <c r="J32" i="39" s="1"/>
  <c r="E32" i="39"/>
  <c r="G31" i="39"/>
  <c r="J31" i="39" s="1"/>
  <c r="E31" i="39"/>
  <c r="G30" i="39"/>
  <c r="J30" i="39" s="1"/>
  <c r="E30" i="39"/>
  <c r="G29" i="39"/>
  <c r="J29" i="39" s="1"/>
  <c r="E29" i="39"/>
  <c r="G28" i="39"/>
  <c r="J28" i="39" s="1"/>
  <c r="E28" i="39"/>
  <c r="G27" i="39"/>
  <c r="J27" i="39" s="1"/>
  <c r="E27" i="39"/>
  <c r="G26" i="39"/>
  <c r="J26" i="39" s="1"/>
  <c r="E26" i="39"/>
  <c r="G25" i="39"/>
  <c r="J25" i="39" s="1"/>
  <c r="E25" i="39"/>
  <c r="G24" i="39"/>
  <c r="J24" i="39" s="1"/>
  <c r="E24" i="39"/>
  <c r="G23" i="39"/>
  <c r="J23" i="39" s="1"/>
  <c r="E23" i="39"/>
  <c r="G22" i="39"/>
  <c r="J22" i="39" s="1"/>
  <c r="E22" i="39"/>
  <c r="N106" i="41"/>
  <c r="O106" i="41" s="1"/>
  <c r="L106" i="41"/>
  <c r="G106" i="41"/>
  <c r="I106" i="41" s="1"/>
  <c r="E106" i="41"/>
  <c r="N105" i="41"/>
  <c r="O105" i="41" s="1"/>
  <c r="L105" i="41"/>
  <c r="G105" i="41"/>
  <c r="I105" i="41" s="1"/>
  <c r="E105" i="41"/>
  <c r="O104" i="41"/>
  <c r="N104" i="41"/>
  <c r="L104" i="41"/>
  <c r="G104" i="41"/>
  <c r="J104" i="41" s="1"/>
  <c r="E104" i="41"/>
  <c r="N103" i="41"/>
  <c r="O103" i="41" s="1"/>
  <c r="L103" i="41"/>
  <c r="G103" i="41"/>
  <c r="J103" i="41" s="1"/>
  <c r="E103" i="41"/>
  <c r="N102" i="41"/>
  <c r="O102" i="41" s="1"/>
  <c r="L102" i="41"/>
  <c r="G102" i="41"/>
  <c r="I102" i="41" s="1"/>
  <c r="E102" i="41"/>
  <c r="N101" i="41"/>
  <c r="O101" i="41" s="1"/>
  <c r="L101" i="41"/>
  <c r="G101" i="41"/>
  <c r="I101" i="41" s="1"/>
  <c r="E101" i="41"/>
  <c r="O100" i="41"/>
  <c r="N100" i="41"/>
  <c r="L100" i="41"/>
  <c r="G100" i="41"/>
  <c r="J100" i="41" s="1"/>
  <c r="E100" i="41"/>
  <c r="N99" i="41"/>
  <c r="O99" i="41" s="1"/>
  <c r="L99" i="41"/>
  <c r="G99" i="41"/>
  <c r="J99" i="41" s="1"/>
  <c r="E99" i="41"/>
  <c r="N98" i="41"/>
  <c r="O98" i="41" s="1"/>
  <c r="L98" i="41"/>
  <c r="G98" i="41"/>
  <c r="I98" i="41" s="1"/>
  <c r="E98" i="41"/>
  <c r="N97" i="41"/>
  <c r="O97" i="41" s="1"/>
  <c r="L97" i="41"/>
  <c r="G97" i="41"/>
  <c r="I97" i="41" s="1"/>
  <c r="E97" i="41"/>
  <c r="O96" i="41"/>
  <c r="N96" i="41"/>
  <c r="L96" i="41"/>
  <c r="G96" i="41"/>
  <c r="J96" i="41" s="1"/>
  <c r="E96" i="41"/>
  <c r="N95" i="41"/>
  <c r="O95" i="41" s="1"/>
  <c r="L95" i="41"/>
  <c r="G95" i="41"/>
  <c r="J95" i="41" s="1"/>
  <c r="E95" i="41"/>
  <c r="N94" i="41"/>
  <c r="O94" i="41" s="1"/>
  <c r="L94" i="41"/>
  <c r="G94" i="41"/>
  <c r="I94" i="41" s="1"/>
  <c r="E94" i="41"/>
  <c r="N93" i="41"/>
  <c r="O93" i="41" s="1"/>
  <c r="L93" i="41"/>
  <c r="G93" i="41"/>
  <c r="I93" i="41" s="1"/>
  <c r="E93" i="41"/>
  <c r="O92" i="41"/>
  <c r="N92" i="41"/>
  <c r="L92" i="41"/>
  <c r="G92" i="41"/>
  <c r="J92" i="41" s="1"/>
  <c r="E92" i="41"/>
  <c r="N91" i="41"/>
  <c r="O91" i="41" s="1"/>
  <c r="L91" i="41"/>
  <c r="G91" i="41"/>
  <c r="J91" i="41" s="1"/>
  <c r="E91" i="41"/>
  <c r="N90" i="41"/>
  <c r="O90" i="41" s="1"/>
  <c r="L90" i="41"/>
  <c r="G90" i="41"/>
  <c r="I90" i="41" s="1"/>
  <c r="E90" i="41"/>
  <c r="N89" i="41"/>
  <c r="O89" i="41" s="1"/>
  <c r="L89" i="41"/>
  <c r="G89" i="41"/>
  <c r="I89" i="41" s="1"/>
  <c r="E89" i="41"/>
  <c r="O88" i="41"/>
  <c r="N88" i="41"/>
  <c r="L88" i="41"/>
  <c r="G88" i="41"/>
  <c r="J88" i="41" s="1"/>
  <c r="E88" i="41"/>
  <c r="N87" i="41"/>
  <c r="O87" i="41" s="1"/>
  <c r="L87" i="41"/>
  <c r="G87" i="41"/>
  <c r="J87" i="41" s="1"/>
  <c r="E87" i="41"/>
  <c r="N86" i="41"/>
  <c r="O86" i="41" s="1"/>
  <c r="L86" i="41"/>
  <c r="G86" i="41"/>
  <c r="I86" i="41" s="1"/>
  <c r="E86" i="41"/>
  <c r="N85" i="41"/>
  <c r="L85" i="41"/>
  <c r="O85" i="41" s="1"/>
  <c r="G85" i="41"/>
  <c r="I85" i="41" s="1"/>
  <c r="E85" i="41"/>
  <c r="O84" i="41"/>
  <c r="N84" i="41"/>
  <c r="L84" i="41"/>
  <c r="G84" i="41"/>
  <c r="J84" i="41" s="1"/>
  <c r="E84" i="41"/>
  <c r="N83" i="41"/>
  <c r="O83" i="41" s="1"/>
  <c r="L83" i="41"/>
  <c r="G83" i="41"/>
  <c r="J83" i="41" s="1"/>
  <c r="E83" i="41"/>
  <c r="N82" i="41"/>
  <c r="O82" i="41" s="1"/>
  <c r="L82" i="41"/>
  <c r="G82" i="41"/>
  <c r="I82" i="41" s="1"/>
  <c r="E82" i="41"/>
  <c r="N81" i="41"/>
  <c r="O81" i="41" s="1"/>
  <c r="L81" i="41"/>
  <c r="G81" i="41"/>
  <c r="I81" i="41" s="1"/>
  <c r="E81" i="41"/>
  <c r="O80" i="41"/>
  <c r="N80" i="41"/>
  <c r="L80" i="41"/>
  <c r="G80" i="41"/>
  <c r="J80" i="41" s="1"/>
  <c r="E80" i="41"/>
  <c r="N79" i="41"/>
  <c r="O79" i="41" s="1"/>
  <c r="L79" i="41"/>
  <c r="G79" i="41"/>
  <c r="J79" i="41" s="1"/>
  <c r="E79" i="41"/>
  <c r="N78" i="41"/>
  <c r="O78" i="41" s="1"/>
  <c r="L78" i="41"/>
  <c r="G78" i="41"/>
  <c r="I78" i="41" s="1"/>
  <c r="E78" i="41"/>
  <c r="N77" i="41"/>
  <c r="L77" i="41"/>
  <c r="O77" i="41" s="1"/>
  <c r="G77" i="41"/>
  <c r="I77" i="41" s="1"/>
  <c r="E77" i="41"/>
  <c r="O76" i="41"/>
  <c r="N76" i="41"/>
  <c r="L76" i="41"/>
  <c r="G76" i="41"/>
  <c r="J76" i="41" s="1"/>
  <c r="E76" i="41"/>
  <c r="N75" i="41"/>
  <c r="O75" i="41" s="1"/>
  <c r="L75" i="41"/>
  <c r="G75" i="41"/>
  <c r="J75" i="41" s="1"/>
  <c r="E75" i="41"/>
  <c r="N74" i="41"/>
  <c r="O74" i="41" s="1"/>
  <c r="L74" i="41"/>
  <c r="G74" i="41"/>
  <c r="I74" i="41" s="1"/>
  <c r="E74" i="41"/>
  <c r="N73" i="41"/>
  <c r="O73" i="41" s="1"/>
  <c r="L73" i="41"/>
  <c r="G73" i="41"/>
  <c r="I73" i="41" s="1"/>
  <c r="E73" i="41"/>
  <c r="O72" i="41"/>
  <c r="N72" i="41"/>
  <c r="L72" i="41"/>
  <c r="G72" i="41"/>
  <c r="J72" i="41" s="1"/>
  <c r="E72" i="41"/>
  <c r="N71" i="41"/>
  <c r="O71" i="41" s="1"/>
  <c r="L71" i="41"/>
  <c r="G71" i="41"/>
  <c r="J71" i="41" s="1"/>
  <c r="E71" i="41"/>
  <c r="N70" i="41"/>
  <c r="O70" i="41" s="1"/>
  <c r="L70" i="41"/>
  <c r="G70" i="41"/>
  <c r="I70" i="41" s="1"/>
  <c r="E70" i="41"/>
  <c r="N69" i="41"/>
  <c r="O69" i="41" s="1"/>
  <c r="L69" i="41"/>
  <c r="G69" i="41"/>
  <c r="I69" i="41" s="1"/>
  <c r="E69" i="41"/>
  <c r="O68" i="41"/>
  <c r="N68" i="41"/>
  <c r="L68" i="41"/>
  <c r="G68" i="41"/>
  <c r="J68" i="41" s="1"/>
  <c r="E68" i="41"/>
  <c r="N67" i="41"/>
  <c r="O67" i="41" s="1"/>
  <c r="L67" i="41"/>
  <c r="G67" i="41"/>
  <c r="J67" i="41" s="1"/>
  <c r="E67" i="41"/>
  <c r="N66" i="41"/>
  <c r="O66" i="41" s="1"/>
  <c r="L66" i="41"/>
  <c r="G66" i="41"/>
  <c r="I66" i="41" s="1"/>
  <c r="E66" i="41"/>
  <c r="N65" i="41"/>
  <c r="O65" i="41" s="1"/>
  <c r="L65" i="41"/>
  <c r="G65" i="41"/>
  <c r="I65" i="41" s="1"/>
  <c r="E65" i="41"/>
  <c r="O64" i="41"/>
  <c r="N64" i="41"/>
  <c r="L64" i="41"/>
  <c r="G64" i="41"/>
  <c r="J64" i="41" s="1"/>
  <c r="E64" i="41"/>
  <c r="N63" i="41"/>
  <c r="O63" i="41" s="1"/>
  <c r="L63" i="41"/>
  <c r="G63" i="41"/>
  <c r="J63" i="41" s="1"/>
  <c r="E63" i="41"/>
  <c r="N62" i="41"/>
  <c r="O62" i="41" s="1"/>
  <c r="L62" i="41"/>
  <c r="G62" i="41"/>
  <c r="I62" i="41" s="1"/>
  <c r="E62" i="41"/>
  <c r="N61" i="41"/>
  <c r="O61" i="41" s="1"/>
  <c r="L61" i="41"/>
  <c r="G61" i="41"/>
  <c r="I61" i="41" s="1"/>
  <c r="E61" i="41"/>
  <c r="O60" i="41"/>
  <c r="N60" i="41"/>
  <c r="L60" i="41"/>
  <c r="G60" i="41"/>
  <c r="J60" i="41" s="1"/>
  <c r="E60" i="41"/>
  <c r="N59" i="41"/>
  <c r="O59" i="41" s="1"/>
  <c r="L59" i="41"/>
  <c r="G59" i="41"/>
  <c r="J59" i="41" s="1"/>
  <c r="E59" i="41"/>
  <c r="N58" i="41"/>
  <c r="O58" i="41" s="1"/>
  <c r="L58" i="41"/>
  <c r="G58" i="41"/>
  <c r="I58" i="41" s="1"/>
  <c r="E58" i="41"/>
  <c r="N57" i="41"/>
  <c r="O57" i="41" s="1"/>
  <c r="L57" i="41"/>
  <c r="G57" i="41"/>
  <c r="I57" i="41" s="1"/>
  <c r="E57" i="41"/>
  <c r="O56" i="41"/>
  <c r="N56" i="41"/>
  <c r="L56" i="41"/>
  <c r="G56" i="41"/>
  <c r="J56" i="41" s="1"/>
  <c r="E56" i="41"/>
  <c r="N55" i="41"/>
  <c r="O55" i="41" s="1"/>
  <c r="L55" i="41"/>
  <c r="G55" i="41"/>
  <c r="J55" i="41" s="1"/>
  <c r="E55" i="41"/>
  <c r="N54" i="41"/>
  <c r="O54" i="41" s="1"/>
  <c r="L54" i="41"/>
  <c r="G54" i="41"/>
  <c r="I54" i="41" s="1"/>
  <c r="E54" i="41"/>
  <c r="N53" i="41"/>
  <c r="O53" i="41" s="1"/>
  <c r="L53" i="41"/>
  <c r="G53" i="41"/>
  <c r="I53" i="41" s="1"/>
  <c r="E53" i="41"/>
  <c r="O52" i="41"/>
  <c r="N52" i="41"/>
  <c r="L52" i="41"/>
  <c r="G52" i="41"/>
  <c r="J52" i="41" s="1"/>
  <c r="E52" i="41"/>
  <c r="N51" i="41"/>
  <c r="O51" i="41" s="1"/>
  <c r="L51" i="41"/>
  <c r="G51" i="41"/>
  <c r="J51" i="41" s="1"/>
  <c r="E51" i="41"/>
  <c r="N50" i="41"/>
  <c r="O50" i="41" s="1"/>
  <c r="L50" i="41"/>
  <c r="G50" i="41"/>
  <c r="I50" i="41" s="1"/>
  <c r="E50" i="41"/>
  <c r="N49" i="41"/>
  <c r="O49" i="41" s="1"/>
  <c r="L49" i="41"/>
  <c r="G49" i="41"/>
  <c r="I49" i="41" s="1"/>
  <c r="E49" i="41"/>
  <c r="O48" i="41"/>
  <c r="N48" i="41"/>
  <c r="L48" i="41"/>
  <c r="G48" i="41"/>
  <c r="J48" i="41" s="1"/>
  <c r="E48" i="41"/>
  <c r="N47" i="41"/>
  <c r="O47" i="41" s="1"/>
  <c r="L47" i="41"/>
  <c r="G47" i="41"/>
  <c r="J47" i="41" s="1"/>
  <c r="E47" i="41"/>
  <c r="N46" i="41"/>
  <c r="O46" i="41" s="1"/>
  <c r="L46" i="41"/>
  <c r="G46" i="41"/>
  <c r="I46" i="41" s="1"/>
  <c r="E46" i="41"/>
  <c r="N45" i="41"/>
  <c r="O45" i="41" s="1"/>
  <c r="L45" i="41"/>
  <c r="G45" i="41"/>
  <c r="I45" i="41" s="1"/>
  <c r="E45" i="41"/>
  <c r="O44" i="41"/>
  <c r="N44" i="41"/>
  <c r="L44" i="41"/>
  <c r="G44" i="41"/>
  <c r="J44" i="41" s="1"/>
  <c r="E44" i="41"/>
  <c r="N43" i="41"/>
  <c r="O43" i="41" s="1"/>
  <c r="L43" i="41"/>
  <c r="G43" i="41"/>
  <c r="J43" i="41" s="1"/>
  <c r="E43" i="41"/>
  <c r="N42" i="41"/>
  <c r="O42" i="41" s="1"/>
  <c r="L42" i="41"/>
  <c r="G42" i="41"/>
  <c r="I42" i="41" s="1"/>
  <c r="E42" i="41"/>
  <c r="N41" i="41"/>
  <c r="O41" i="41" s="1"/>
  <c r="L41" i="41"/>
  <c r="G41" i="41"/>
  <c r="I41" i="41" s="1"/>
  <c r="E41" i="41"/>
  <c r="O40" i="41"/>
  <c r="N40" i="41"/>
  <c r="L40" i="41"/>
  <c r="G40" i="41"/>
  <c r="J40" i="41" s="1"/>
  <c r="E40" i="41"/>
  <c r="N39" i="41"/>
  <c r="O39" i="41" s="1"/>
  <c r="L39" i="41"/>
  <c r="G39" i="41"/>
  <c r="J39" i="41" s="1"/>
  <c r="E39" i="41"/>
  <c r="N38" i="41"/>
  <c r="O38" i="41" s="1"/>
  <c r="L38" i="41"/>
  <c r="G38" i="41"/>
  <c r="I38" i="41" s="1"/>
  <c r="E38" i="41"/>
  <c r="N37" i="41"/>
  <c r="O37" i="41" s="1"/>
  <c r="L37" i="41"/>
  <c r="G37" i="41"/>
  <c r="I37" i="41" s="1"/>
  <c r="E37" i="41"/>
  <c r="O36" i="41"/>
  <c r="N36" i="41"/>
  <c r="L36" i="41"/>
  <c r="G36" i="41"/>
  <c r="J36" i="41" s="1"/>
  <c r="E36" i="41"/>
  <c r="N35" i="41"/>
  <c r="O35" i="41" s="1"/>
  <c r="L35" i="41"/>
  <c r="G35" i="41"/>
  <c r="J35" i="41" s="1"/>
  <c r="E35" i="41"/>
  <c r="N34" i="41"/>
  <c r="O34" i="41" s="1"/>
  <c r="L34" i="41"/>
  <c r="G34" i="41"/>
  <c r="I34" i="41" s="1"/>
  <c r="E34" i="41"/>
  <c r="N33" i="41"/>
  <c r="O33" i="41" s="1"/>
  <c r="L33" i="41"/>
  <c r="G33" i="41"/>
  <c r="I33" i="41" s="1"/>
  <c r="E33" i="41"/>
  <c r="O32" i="41"/>
  <c r="N32" i="41"/>
  <c r="L32" i="41"/>
  <c r="G32" i="41"/>
  <c r="J32" i="41" s="1"/>
  <c r="E32" i="41"/>
  <c r="N31" i="41"/>
  <c r="O31" i="41" s="1"/>
  <c r="L31" i="41"/>
  <c r="G31" i="41"/>
  <c r="J31" i="41" s="1"/>
  <c r="E31" i="41"/>
  <c r="N30" i="41"/>
  <c r="O30" i="41" s="1"/>
  <c r="L30" i="41"/>
  <c r="G30" i="41"/>
  <c r="I30" i="41" s="1"/>
  <c r="E30" i="41"/>
  <c r="N29" i="41"/>
  <c r="O29" i="41" s="1"/>
  <c r="L29" i="41"/>
  <c r="G29" i="41"/>
  <c r="I29" i="41" s="1"/>
  <c r="E29" i="41"/>
  <c r="O28" i="41"/>
  <c r="N28" i="41"/>
  <c r="L28" i="41"/>
  <c r="G28" i="41"/>
  <c r="J28" i="41" s="1"/>
  <c r="E28" i="41"/>
  <c r="N27" i="41"/>
  <c r="O27" i="41" s="1"/>
  <c r="L27" i="41"/>
  <c r="G27" i="41"/>
  <c r="J27" i="41" s="1"/>
  <c r="E27" i="41"/>
  <c r="N26" i="41"/>
  <c r="O26" i="41" s="1"/>
  <c r="L26" i="41"/>
  <c r="G26" i="41"/>
  <c r="I26" i="41" s="1"/>
  <c r="E26" i="41"/>
  <c r="N25" i="41"/>
  <c r="L25" i="41"/>
  <c r="O25" i="41" s="1"/>
  <c r="G25" i="41"/>
  <c r="I25" i="41" s="1"/>
  <c r="E25" i="41"/>
  <c r="O24" i="41"/>
  <c r="N24" i="41"/>
  <c r="L24" i="41"/>
  <c r="G24" i="41"/>
  <c r="J24" i="41" s="1"/>
  <c r="E24" i="41"/>
  <c r="N23" i="41"/>
  <c r="O23" i="41" s="1"/>
  <c r="L23" i="41"/>
  <c r="G23" i="41"/>
  <c r="J23" i="41" s="1"/>
  <c r="E23" i="41"/>
  <c r="N22" i="41"/>
  <c r="O22" i="41" s="1"/>
  <c r="L22" i="41"/>
  <c r="G22" i="41"/>
  <c r="I22" i="41" s="1"/>
  <c r="E22" i="41"/>
  <c r="N21" i="41"/>
  <c r="L21" i="41"/>
  <c r="O21" i="41" s="1"/>
  <c r="G21" i="41"/>
  <c r="I21" i="41" s="1"/>
  <c r="E21" i="41"/>
  <c r="O20" i="41"/>
  <c r="N20" i="41"/>
  <c r="L20" i="41"/>
  <c r="G20" i="41"/>
  <c r="J20" i="41" s="1"/>
  <c r="E20" i="41"/>
  <c r="N19" i="41"/>
  <c r="O19" i="41" s="1"/>
  <c r="L19" i="41"/>
  <c r="G19" i="41"/>
  <c r="J19" i="41" s="1"/>
  <c r="E19" i="41"/>
  <c r="N18" i="41"/>
  <c r="O18" i="41" s="1"/>
  <c r="L18" i="41"/>
  <c r="G18" i="41"/>
  <c r="I18" i="41" s="1"/>
  <c r="E18" i="41"/>
  <c r="N17" i="41"/>
  <c r="O17" i="41" s="1"/>
  <c r="L17" i="41"/>
  <c r="G17" i="41"/>
  <c r="I17" i="41" s="1"/>
  <c r="E17" i="41"/>
  <c r="O16" i="41"/>
  <c r="N16" i="41"/>
  <c r="L16" i="41"/>
  <c r="G16" i="41"/>
  <c r="J16" i="41" s="1"/>
  <c r="E16" i="41"/>
  <c r="N15" i="41"/>
  <c r="O15" i="41" s="1"/>
  <c r="L15" i="41"/>
  <c r="G15" i="41"/>
  <c r="J15" i="41" s="1"/>
  <c r="E15" i="41"/>
  <c r="N14" i="41"/>
  <c r="O14" i="41" s="1"/>
  <c r="L14" i="41"/>
  <c r="G14" i="41"/>
  <c r="I14" i="41" s="1"/>
  <c r="E14" i="41"/>
  <c r="N13" i="41"/>
  <c r="O13" i="41" s="1"/>
  <c r="L13" i="41"/>
  <c r="G13" i="41"/>
  <c r="I13" i="41" s="1"/>
  <c r="E13" i="41"/>
  <c r="O12" i="41"/>
  <c r="N12" i="41"/>
  <c r="L12" i="41"/>
  <c r="G12" i="41"/>
  <c r="J12" i="41" s="1"/>
  <c r="E12" i="41"/>
  <c r="N11" i="41"/>
  <c r="O11" i="41" s="1"/>
  <c r="L11" i="41"/>
  <c r="G11" i="41"/>
  <c r="J11" i="41" s="1"/>
  <c r="E11" i="41"/>
  <c r="N10" i="41"/>
  <c r="O10" i="41" s="1"/>
  <c r="L10" i="41"/>
  <c r="G10" i="41"/>
  <c r="I10" i="41" s="1"/>
  <c r="E10" i="41"/>
  <c r="N9" i="41"/>
  <c r="O9" i="41" s="1"/>
  <c r="L9" i="41"/>
  <c r="G9" i="41"/>
  <c r="I9" i="41" s="1"/>
  <c r="E9" i="41"/>
  <c r="O8" i="41"/>
  <c r="N8" i="41"/>
  <c r="L8" i="41"/>
  <c r="G8" i="41"/>
  <c r="J8" i="41" s="1"/>
  <c r="E8" i="41"/>
  <c r="N105" i="40"/>
  <c r="L105" i="40"/>
  <c r="G105" i="40"/>
  <c r="I105" i="40" s="1"/>
  <c r="E105" i="40"/>
  <c r="N104" i="40"/>
  <c r="L104" i="40"/>
  <c r="G104" i="40"/>
  <c r="I104" i="40" s="1"/>
  <c r="E104" i="40"/>
  <c r="N103" i="40"/>
  <c r="L103" i="40"/>
  <c r="G103" i="40"/>
  <c r="J103" i="40" s="1"/>
  <c r="E103" i="40"/>
  <c r="N102" i="40"/>
  <c r="L102" i="40"/>
  <c r="G102" i="40"/>
  <c r="J102" i="40" s="1"/>
  <c r="E102" i="40"/>
  <c r="N101" i="40"/>
  <c r="L101" i="40"/>
  <c r="G101" i="40"/>
  <c r="I101" i="40" s="1"/>
  <c r="E101" i="40"/>
  <c r="N100" i="40"/>
  <c r="L100" i="40"/>
  <c r="G100" i="40"/>
  <c r="J100" i="40" s="1"/>
  <c r="E100" i="40"/>
  <c r="N99" i="40"/>
  <c r="L99" i="40"/>
  <c r="G99" i="40"/>
  <c r="J99" i="40" s="1"/>
  <c r="E99" i="40"/>
  <c r="N98" i="40"/>
  <c r="L98" i="40"/>
  <c r="G98" i="40"/>
  <c r="J98" i="40" s="1"/>
  <c r="E98" i="40"/>
  <c r="N97" i="40"/>
  <c r="L97" i="40"/>
  <c r="G97" i="40"/>
  <c r="I97" i="40" s="1"/>
  <c r="E97" i="40"/>
  <c r="N96" i="40"/>
  <c r="O96" i="40" s="1"/>
  <c r="L96" i="40"/>
  <c r="G96" i="40"/>
  <c r="J96" i="40" s="1"/>
  <c r="E96" i="40"/>
  <c r="N95" i="40"/>
  <c r="L95" i="40"/>
  <c r="G95" i="40"/>
  <c r="J95" i="40" s="1"/>
  <c r="E95" i="40"/>
  <c r="N94" i="40"/>
  <c r="L94" i="40"/>
  <c r="G94" i="40"/>
  <c r="J94" i="40" s="1"/>
  <c r="E94" i="40"/>
  <c r="N93" i="40"/>
  <c r="L93" i="40"/>
  <c r="G93" i="40"/>
  <c r="I93" i="40" s="1"/>
  <c r="E93" i="40"/>
  <c r="N92" i="40"/>
  <c r="L92" i="40"/>
  <c r="G92" i="40"/>
  <c r="J92" i="40" s="1"/>
  <c r="E92" i="40"/>
  <c r="N91" i="40"/>
  <c r="L91" i="40"/>
  <c r="G91" i="40"/>
  <c r="J91" i="40" s="1"/>
  <c r="E91" i="40"/>
  <c r="N90" i="40"/>
  <c r="L90" i="40"/>
  <c r="G90" i="40"/>
  <c r="J90" i="40" s="1"/>
  <c r="E90" i="40"/>
  <c r="N89" i="40"/>
  <c r="L89" i="40"/>
  <c r="G89" i="40"/>
  <c r="I89" i="40" s="1"/>
  <c r="E89" i="40"/>
  <c r="N88" i="40"/>
  <c r="L88" i="40"/>
  <c r="G88" i="40"/>
  <c r="J88" i="40" s="1"/>
  <c r="E88" i="40"/>
  <c r="N87" i="40"/>
  <c r="L87" i="40"/>
  <c r="G87" i="40"/>
  <c r="J87" i="40" s="1"/>
  <c r="E87" i="40"/>
  <c r="N86" i="40"/>
  <c r="L86" i="40"/>
  <c r="G86" i="40"/>
  <c r="J86" i="40" s="1"/>
  <c r="E86" i="40"/>
  <c r="N85" i="40"/>
  <c r="L85" i="40"/>
  <c r="O85" i="40" s="1"/>
  <c r="G85" i="40"/>
  <c r="I85" i="40" s="1"/>
  <c r="E85" i="40"/>
  <c r="N84" i="40"/>
  <c r="L84" i="40"/>
  <c r="G84" i="40"/>
  <c r="J84" i="40" s="1"/>
  <c r="E84" i="40"/>
  <c r="N83" i="40"/>
  <c r="L83" i="40"/>
  <c r="G83" i="40"/>
  <c r="J83" i="40" s="1"/>
  <c r="E83" i="40"/>
  <c r="N82" i="40"/>
  <c r="L82" i="40"/>
  <c r="G82" i="40"/>
  <c r="J82" i="40" s="1"/>
  <c r="E82" i="40"/>
  <c r="N81" i="40"/>
  <c r="L81" i="40"/>
  <c r="G81" i="40"/>
  <c r="I81" i="40" s="1"/>
  <c r="E81" i="40"/>
  <c r="N80" i="40"/>
  <c r="L80" i="40"/>
  <c r="G80" i="40"/>
  <c r="J80" i="40" s="1"/>
  <c r="E80" i="40"/>
  <c r="N79" i="40"/>
  <c r="L79" i="40"/>
  <c r="G79" i="40"/>
  <c r="J79" i="40" s="1"/>
  <c r="E79" i="40"/>
  <c r="N78" i="40"/>
  <c r="L78" i="40"/>
  <c r="G78" i="40"/>
  <c r="J78" i="40" s="1"/>
  <c r="E78" i="40"/>
  <c r="N77" i="40"/>
  <c r="L77" i="40"/>
  <c r="G77" i="40"/>
  <c r="I77" i="40" s="1"/>
  <c r="E77" i="40"/>
  <c r="N76" i="40"/>
  <c r="L76" i="40"/>
  <c r="G76" i="40"/>
  <c r="J76" i="40" s="1"/>
  <c r="E76" i="40"/>
  <c r="N75" i="40"/>
  <c r="L75" i="40"/>
  <c r="G75" i="40"/>
  <c r="J75" i="40" s="1"/>
  <c r="E75" i="40"/>
  <c r="N74" i="40"/>
  <c r="L74" i="40"/>
  <c r="G74" i="40"/>
  <c r="J74" i="40" s="1"/>
  <c r="E74" i="40"/>
  <c r="N73" i="40"/>
  <c r="L73" i="40"/>
  <c r="G73" i="40"/>
  <c r="I73" i="40" s="1"/>
  <c r="E73" i="40"/>
  <c r="N72" i="40"/>
  <c r="L72" i="40"/>
  <c r="G72" i="40"/>
  <c r="J72" i="40" s="1"/>
  <c r="E72" i="40"/>
  <c r="N71" i="40"/>
  <c r="L71" i="40"/>
  <c r="G71" i="40"/>
  <c r="J71" i="40" s="1"/>
  <c r="E71" i="40"/>
  <c r="N70" i="40"/>
  <c r="L70" i="40"/>
  <c r="G70" i="40"/>
  <c r="J70" i="40" s="1"/>
  <c r="E70" i="40"/>
  <c r="N69" i="40"/>
  <c r="L69" i="40"/>
  <c r="G69" i="40"/>
  <c r="I69" i="40" s="1"/>
  <c r="E69" i="40"/>
  <c r="N68" i="40"/>
  <c r="L68" i="40"/>
  <c r="G68" i="40"/>
  <c r="J68" i="40" s="1"/>
  <c r="E68" i="40"/>
  <c r="N67" i="40"/>
  <c r="L67" i="40"/>
  <c r="G67" i="40"/>
  <c r="J67" i="40" s="1"/>
  <c r="E67" i="40"/>
  <c r="N66" i="40"/>
  <c r="L66" i="40"/>
  <c r="G66" i="40"/>
  <c r="J66" i="40" s="1"/>
  <c r="E66" i="40"/>
  <c r="N65" i="40"/>
  <c r="L65" i="40"/>
  <c r="G65" i="40"/>
  <c r="I65" i="40" s="1"/>
  <c r="E65" i="40"/>
  <c r="N64" i="40"/>
  <c r="O64" i="40" s="1"/>
  <c r="L64" i="40"/>
  <c r="G64" i="40"/>
  <c r="J64" i="40" s="1"/>
  <c r="E64" i="40"/>
  <c r="N63" i="40"/>
  <c r="L63" i="40"/>
  <c r="G63" i="40"/>
  <c r="J63" i="40" s="1"/>
  <c r="E63" i="40"/>
  <c r="N62" i="40"/>
  <c r="L62" i="40"/>
  <c r="G62" i="40"/>
  <c r="J62" i="40" s="1"/>
  <c r="E62" i="40"/>
  <c r="N61" i="40"/>
  <c r="L61" i="40"/>
  <c r="G61" i="40"/>
  <c r="I61" i="40" s="1"/>
  <c r="E61" i="40"/>
  <c r="N60" i="40"/>
  <c r="L60" i="40"/>
  <c r="G60" i="40"/>
  <c r="J60" i="40" s="1"/>
  <c r="E60" i="40"/>
  <c r="N59" i="40"/>
  <c r="L59" i="40"/>
  <c r="G59" i="40"/>
  <c r="J59" i="40" s="1"/>
  <c r="E59" i="40"/>
  <c r="N58" i="40"/>
  <c r="L58" i="40"/>
  <c r="G58" i="40"/>
  <c r="J58" i="40" s="1"/>
  <c r="E58" i="40"/>
  <c r="N57" i="40"/>
  <c r="L57" i="40"/>
  <c r="G57" i="40"/>
  <c r="I57" i="40" s="1"/>
  <c r="E57" i="40"/>
  <c r="N56" i="40"/>
  <c r="L56" i="40"/>
  <c r="G56" i="40"/>
  <c r="J56" i="40" s="1"/>
  <c r="E56" i="40"/>
  <c r="N55" i="40"/>
  <c r="L55" i="40"/>
  <c r="G55" i="40"/>
  <c r="J55" i="40" s="1"/>
  <c r="E55" i="40"/>
  <c r="N54" i="40"/>
  <c r="L54" i="40"/>
  <c r="G54" i="40"/>
  <c r="J54" i="40" s="1"/>
  <c r="E54" i="40"/>
  <c r="N53" i="40"/>
  <c r="L53" i="40"/>
  <c r="G53" i="40"/>
  <c r="J53" i="40" s="1"/>
  <c r="E53" i="40"/>
  <c r="N52" i="40"/>
  <c r="L52" i="40"/>
  <c r="G52" i="40"/>
  <c r="J52" i="40" s="1"/>
  <c r="E52" i="40"/>
  <c r="N51" i="40"/>
  <c r="L51" i="40"/>
  <c r="G51" i="40"/>
  <c r="J51" i="40" s="1"/>
  <c r="E51" i="40"/>
  <c r="N50" i="40"/>
  <c r="L50" i="40"/>
  <c r="G50" i="40"/>
  <c r="J50" i="40" s="1"/>
  <c r="E50" i="40"/>
  <c r="N49" i="40"/>
  <c r="L49" i="40"/>
  <c r="G49" i="40"/>
  <c r="J49" i="40" s="1"/>
  <c r="E49" i="40"/>
  <c r="N48" i="40"/>
  <c r="L48" i="40"/>
  <c r="O48" i="40" s="1"/>
  <c r="G48" i="40"/>
  <c r="J48" i="40" s="1"/>
  <c r="E48" i="40"/>
  <c r="N47" i="40"/>
  <c r="L47" i="40"/>
  <c r="G47" i="40"/>
  <c r="J47" i="40" s="1"/>
  <c r="E47" i="40"/>
  <c r="N46" i="40"/>
  <c r="L46" i="40"/>
  <c r="G46" i="40"/>
  <c r="J46" i="40" s="1"/>
  <c r="E46" i="40"/>
  <c r="N45" i="40"/>
  <c r="L45" i="40"/>
  <c r="O45" i="40" s="1"/>
  <c r="G45" i="40"/>
  <c r="J45" i="40" s="1"/>
  <c r="E45" i="40"/>
  <c r="N44" i="40"/>
  <c r="L44" i="40"/>
  <c r="G44" i="40"/>
  <c r="J44" i="40" s="1"/>
  <c r="E44" i="40"/>
  <c r="N43" i="40"/>
  <c r="L43" i="40"/>
  <c r="G43" i="40"/>
  <c r="J43" i="40" s="1"/>
  <c r="E43" i="40"/>
  <c r="N42" i="40"/>
  <c r="L42" i="40"/>
  <c r="G42" i="40"/>
  <c r="J42" i="40" s="1"/>
  <c r="E42" i="40"/>
  <c r="N41" i="40"/>
  <c r="L41" i="40"/>
  <c r="O41" i="40" s="1"/>
  <c r="G41" i="40"/>
  <c r="J41" i="40" s="1"/>
  <c r="E41" i="40"/>
  <c r="N40" i="40"/>
  <c r="L40" i="40"/>
  <c r="G40" i="40"/>
  <c r="J40" i="40" s="1"/>
  <c r="E40" i="40"/>
  <c r="N39" i="40"/>
  <c r="L39" i="40"/>
  <c r="G39" i="40"/>
  <c r="J39" i="40" s="1"/>
  <c r="E39" i="40"/>
  <c r="N38" i="40"/>
  <c r="L38" i="40"/>
  <c r="G38" i="40"/>
  <c r="J38" i="40" s="1"/>
  <c r="E38" i="40"/>
  <c r="N37" i="40"/>
  <c r="L37" i="40"/>
  <c r="G37" i="40"/>
  <c r="J37" i="40" s="1"/>
  <c r="E37" i="40"/>
  <c r="N36" i="40"/>
  <c r="L36" i="40"/>
  <c r="G36" i="40"/>
  <c r="J36" i="40" s="1"/>
  <c r="E36" i="40"/>
  <c r="N35" i="40"/>
  <c r="L35" i="40"/>
  <c r="G35" i="40"/>
  <c r="J35" i="40" s="1"/>
  <c r="E35" i="40"/>
  <c r="N34" i="40"/>
  <c r="L34" i="40"/>
  <c r="G34" i="40"/>
  <c r="J34" i="40" s="1"/>
  <c r="E34" i="40"/>
  <c r="N33" i="40"/>
  <c r="L33" i="40"/>
  <c r="G33" i="40"/>
  <c r="J33" i="40" s="1"/>
  <c r="E33" i="40"/>
  <c r="N32" i="40"/>
  <c r="L32" i="40"/>
  <c r="G32" i="40"/>
  <c r="J32" i="40" s="1"/>
  <c r="E32" i="40"/>
  <c r="N31" i="40"/>
  <c r="L31" i="40"/>
  <c r="G31" i="40"/>
  <c r="J31" i="40" s="1"/>
  <c r="E31" i="40"/>
  <c r="N30" i="40"/>
  <c r="L30" i="40"/>
  <c r="G30" i="40"/>
  <c r="J30" i="40" s="1"/>
  <c r="E30" i="40"/>
  <c r="N29" i="40"/>
  <c r="L29" i="40"/>
  <c r="G29" i="40"/>
  <c r="J29" i="40" s="1"/>
  <c r="E29" i="40"/>
  <c r="N28" i="40"/>
  <c r="L28" i="40"/>
  <c r="G28" i="40"/>
  <c r="J28" i="40" s="1"/>
  <c r="E28" i="40"/>
  <c r="N27" i="40"/>
  <c r="L27" i="40"/>
  <c r="G27" i="40"/>
  <c r="J27" i="40" s="1"/>
  <c r="E27" i="40"/>
  <c r="N26" i="40"/>
  <c r="L26" i="40"/>
  <c r="G26" i="40"/>
  <c r="J26" i="40" s="1"/>
  <c r="E26" i="40"/>
  <c r="N25" i="40"/>
  <c r="L25" i="40"/>
  <c r="G25" i="40"/>
  <c r="J25" i="40" s="1"/>
  <c r="E25" i="40"/>
  <c r="N24" i="40"/>
  <c r="L24" i="40"/>
  <c r="G24" i="40"/>
  <c r="J24" i="40" s="1"/>
  <c r="E24" i="40"/>
  <c r="N23" i="40"/>
  <c r="L23" i="40"/>
  <c r="G23" i="40"/>
  <c r="J23" i="40" s="1"/>
  <c r="E23" i="40"/>
  <c r="N22" i="40"/>
  <c r="L22" i="40"/>
  <c r="G22" i="40"/>
  <c r="J22" i="40" s="1"/>
  <c r="E22" i="40"/>
  <c r="N21" i="40"/>
  <c r="L21" i="40"/>
  <c r="G21" i="40"/>
  <c r="J21" i="40" s="1"/>
  <c r="E21" i="40"/>
  <c r="N20" i="40"/>
  <c r="O20" i="40" s="1"/>
  <c r="L20" i="40"/>
  <c r="G20" i="40"/>
  <c r="J20" i="40" s="1"/>
  <c r="E20" i="40"/>
  <c r="N19" i="40"/>
  <c r="L19" i="40"/>
  <c r="G19" i="40"/>
  <c r="J19" i="40" s="1"/>
  <c r="E19" i="40"/>
  <c r="N18" i="40"/>
  <c r="L18" i="40"/>
  <c r="G18" i="40"/>
  <c r="J18" i="40" s="1"/>
  <c r="E18" i="40"/>
  <c r="N17" i="40"/>
  <c r="L17" i="40"/>
  <c r="G17" i="40"/>
  <c r="J17" i="40" s="1"/>
  <c r="E17" i="40"/>
  <c r="N16" i="40"/>
  <c r="L16" i="40"/>
  <c r="G16" i="40"/>
  <c r="J16" i="40" s="1"/>
  <c r="E16" i="40"/>
  <c r="N15" i="40"/>
  <c r="L15" i="40"/>
  <c r="G15" i="40"/>
  <c r="J15" i="40" s="1"/>
  <c r="E15" i="40"/>
  <c r="N14" i="40"/>
  <c r="L14" i="40"/>
  <c r="G14" i="40"/>
  <c r="J14" i="40" s="1"/>
  <c r="E14" i="40"/>
  <c r="N13" i="40"/>
  <c r="L13" i="40"/>
  <c r="G13" i="40"/>
  <c r="J13" i="40" s="1"/>
  <c r="E13" i="40"/>
  <c r="N12" i="40"/>
  <c r="L12" i="40"/>
  <c r="G12" i="40"/>
  <c r="J12" i="40" s="1"/>
  <c r="E12" i="40"/>
  <c r="N11" i="40"/>
  <c r="L11" i="40"/>
  <c r="G11" i="40"/>
  <c r="J11" i="40" s="1"/>
  <c r="E11" i="40"/>
  <c r="N10" i="40"/>
  <c r="L10" i="40"/>
  <c r="G10" i="40"/>
  <c r="J10" i="40" s="1"/>
  <c r="E10" i="40"/>
  <c r="N9" i="40"/>
  <c r="L9" i="40"/>
  <c r="G9" i="40"/>
  <c r="J9" i="40" s="1"/>
  <c r="E9" i="40"/>
  <c r="N8" i="40"/>
  <c r="L8" i="40"/>
  <c r="G8" i="40"/>
  <c r="J8" i="40" s="1"/>
  <c r="E8" i="40"/>
  <c r="N7" i="40"/>
  <c r="L7" i="40"/>
  <c r="G7" i="40"/>
  <c r="J7" i="40" s="1"/>
  <c r="E7" i="40"/>
  <c r="I12" i="37"/>
  <c r="I13" i="37"/>
  <c r="I14" i="37"/>
  <c r="I11" i="37"/>
  <c r="I7" i="8" l="1"/>
  <c r="D3" i="8"/>
  <c r="D18" i="8"/>
  <c r="D14" i="8"/>
  <c r="D10" i="8"/>
  <c r="D6" i="8"/>
  <c r="E5" i="8"/>
  <c r="D5" i="8"/>
  <c r="D9" i="8"/>
  <c r="D13" i="8"/>
  <c r="D21" i="8"/>
  <c r="D17" i="8"/>
  <c r="D20" i="8"/>
  <c r="D16" i="8"/>
  <c r="D12" i="8"/>
  <c r="D8" i="8"/>
  <c r="D4" i="8"/>
  <c r="E7" i="8"/>
  <c r="E11" i="8"/>
  <c r="E15" i="8"/>
  <c r="E19" i="8"/>
  <c r="D19" i="8"/>
  <c r="D15" i="8"/>
  <c r="D11" i="8"/>
  <c r="D7" i="8"/>
  <c r="E20" i="8"/>
  <c r="E16" i="8"/>
  <c r="E12" i="8"/>
  <c r="E8" i="8"/>
  <c r="E4" i="8"/>
  <c r="E18" i="8"/>
  <c r="E14" i="8"/>
  <c r="E10" i="8"/>
  <c r="E6" i="8"/>
  <c r="I22" i="39"/>
  <c r="I23" i="39"/>
  <c r="I24" i="39"/>
  <c r="I25" i="39"/>
  <c r="I26" i="39"/>
  <c r="I27" i="39"/>
  <c r="I28" i="39"/>
  <c r="I29" i="39"/>
  <c r="I30" i="39"/>
  <c r="I31" i="39"/>
  <c r="I32" i="39"/>
  <c r="J17" i="41"/>
  <c r="J25" i="41"/>
  <c r="J29" i="41"/>
  <c r="J33" i="41"/>
  <c r="J37" i="41"/>
  <c r="J41" i="41"/>
  <c r="J45" i="41"/>
  <c r="J49" i="41"/>
  <c r="J53" i="41"/>
  <c r="J57" i="41"/>
  <c r="J61" i="41"/>
  <c r="J65" i="41"/>
  <c r="J69" i="41"/>
  <c r="J73" i="41"/>
  <c r="J77" i="41"/>
  <c r="J81" i="41"/>
  <c r="J85" i="41"/>
  <c r="J89" i="41"/>
  <c r="J93" i="41"/>
  <c r="J97" i="41"/>
  <c r="J101" i="41"/>
  <c r="J105" i="41"/>
  <c r="J21" i="41"/>
  <c r="I8" i="41"/>
  <c r="I12" i="41"/>
  <c r="I16" i="41"/>
  <c r="I20" i="41"/>
  <c r="I24" i="41"/>
  <c r="I28" i="41"/>
  <c r="I32" i="41"/>
  <c r="I36" i="41"/>
  <c r="I40" i="41"/>
  <c r="I44" i="41"/>
  <c r="I48" i="41"/>
  <c r="I52" i="41"/>
  <c r="I56" i="41"/>
  <c r="I60" i="41"/>
  <c r="I64" i="41"/>
  <c r="I68" i="41"/>
  <c r="I72" i="41"/>
  <c r="I76" i="41"/>
  <c r="I80" i="41"/>
  <c r="I84" i="41"/>
  <c r="I88" i="41"/>
  <c r="I92" i="41"/>
  <c r="I96" i="41"/>
  <c r="I100" i="41"/>
  <c r="I104" i="41"/>
  <c r="J9" i="41"/>
  <c r="J13" i="41"/>
  <c r="J10" i="41"/>
  <c r="J14" i="41"/>
  <c r="J18" i="41"/>
  <c r="J22" i="41"/>
  <c r="J26" i="41"/>
  <c r="J30" i="41"/>
  <c r="J34" i="41"/>
  <c r="J38" i="41"/>
  <c r="J42" i="41"/>
  <c r="J46" i="41"/>
  <c r="J50" i="41"/>
  <c r="J54" i="41"/>
  <c r="J58" i="41"/>
  <c r="J62" i="41"/>
  <c r="J66" i="41"/>
  <c r="J70" i="41"/>
  <c r="J74" i="41"/>
  <c r="J78" i="41"/>
  <c r="J82" i="41"/>
  <c r="J86" i="41"/>
  <c r="J90" i="41"/>
  <c r="J94" i="41"/>
  <c r="J98" i="41"/>
  <c r="J102" i="41"/>
  <c r="J106" i="41"/>
  <c r="I11" i="41"/>
  <c r="I15" i="41"/>
  <c r="I19" i="41"/>
  <c r="I23" i="41"/>
  <c r="I27" i="41"/>
  <c r="I31" i="41"/>
  <c r="I35" i="41"/>
  <c r="I39" i="41"/>
  <c r="I43" i="41"/>
  <c r="I47" i="41"/>
  <c r="I51" i="41"/>
  <c r="I55" i="41"/>
  <c r="I59" i="41"/>
  <c r="I63" i="41"/>
  <c r="I67" i="41"/>
  <c r="I71" i="41"/>
  <c r="I75" i="41"/>
  <c r="I79" i="41"/>
  <c r="I83" i="41"/>
  <c r="I87" i="41"/>
  <c r="I91" i="41"/>
  <c r="I95" i="41"/>
  <c r="I99" i="41"/>
  <c r="I103" i="41"/>
  <c r="O8" i="40"/>
  <c r="O18" i="40"/>
  <c r="O22" i="40"/>
  <c r="O23" i="40"/>
  <c r="O24" i="40"/>
  <c r="O28" i="40"/>
  <c r="O34" i="40"/>
  <c r="O35" i="40"/>
  <c r="O36" i="40"/>
  <c r="O52" i="40"/>
  <c r="O61" i="40"/>
  <c r="O62" i="40"/>
  <c r="O63" i="40"/>
  <c r="O89" i="40"/>
  <c r="O92" i="40"/>
  <c r="O7" i="40"/>
  <c r="O12" i="40"/>
  <c r="O19" i="40"/>
  <c r="O65" i="40"/>
  <c r="O66" i="40"/>
  <c r="O67" i="40"/>
  <c r="O68" i="40"/>
  <c r="O72" i="40"/>
  <c r="O77" i="40"/>
  <c r="O78" i="40"/>
  <c r="O79" i="40"/>
  <c r="O80" i="40"/>
  <c r="O104" i="40"/>
  <c r="O38" i="40"/>
  <c r="O39" i="40"/>
  <c r="O40" i="40"/>
  <c r="O44" i="40"/>
  <c r="O50" i="40"/>
  <c r="O51" i="40"/>
  <c r="J57" i="40"/>
  <c r="O82" i="40"/>
  <c r="O83" i="40"/>
  <c r="O84" i="40"/>
  <c r="O88" i="40"/>
  <c r="O93" i="40"/>
  <c r="O94" i="40"/>
  <c r="O95" i="40"/>
  <c r="J104" i="40"/>
  <c r="O9" i="40"/>
  <c r="O13" i="40"/>
  <c r="O16" i="40"/>
  <c r="O54" i="40"/>
  <c r="O55" i="40"/>
  <c r="O56" i="40"/>
  <c r="O57" i="40"/>
  <c r="O60" i="40"/>
  <c r="O97" i="40"/>
  <c r="O98" i="40"/>
  <c r="O99" i="40"/>
  <c r="O100" i="40"/>
  <c r="O25" i="40"/>
  <c r="O29" i="40"/>
  <c r="O32" i="40"/>
  <c r="O76" i="40"/>
  <c r="O10" i="40"/>
  <c r="O26" i="40"/>
  <c r="O27" i="40"/>
  <c r="O42" i="40"/>
  <c r="O43" i="40"/>
  <c r="O69" i="40"/>
  <c r="O70" i="40"/>
  <c r="O71" i="40"/>
  <c r="O86" i="40"/>
  <c r="O87" i="40"/>
  <c r="O101" i="40"/>
  <c r="O102" i="40"/>
  <c r="O103" i="40"/>
  <c r="O11" i="40"/>
  <c r="O14" i="40"/>
  <c r="O15" i="40"/>
  <c r="O17" i="40"/>
  <c r="O30" i="40"/>
  <c r="O31" i="40"/>
  <c r="O33" i="40"/>
  <c r="O46" i="40"/>
  <c r="O47" i="40"/>
  <c r="O49" i="40"/>
  <c r="O58" i="40"/>
  <c r="O59" i="40"/>
  <c r="O73" i="40"/>
  <c r="O74" i="40"/>
  <c r="O75" i="40"/>
  <c r="O90" i="40"/>
  <c r="O91" i="40"/>
  <c r="O21" i="40"/>
  <c r="O37" i="40"/>
  <c r="O53" i="40"/>
  <c r="O81" i="40"/>
  <c r="O105" i="40"/>
  <c r="I9" i="40"/>
  <c r="I25" i="40"/>
  <c r="I41" i="40"/>
  <c r="I21" i="40"/>
  <c r="I37" i="40"/>
  <c r="I53" i="40"/>
  <c r="I20" i="40"/>
  <c r="I36" i="40"/>
  <c r="I52" i="40"/>
  <c r="I16" i="40"/>
  <c r="I32" i="40"/>
  <c r="I48" i="40"/>
  <c r="I8" i="40"/>
  <c r="I13" i="40"/>
  <c r="I24" i="40"/>
  <c r="I29" i="40"/>
  <c r="I40" i="40"/>
  <c r="I45" i="40"/>
  <c r="I56" i="40"/>
  <c r="J61" i="40"/>
  <c r="J65" i="40"/>
  <c r="J69" i="40"/>
  <c r="J73" i="40"/>
  <c r="J77" i="40"/>
  <c r="J81" i="40"/>
  <c r="J85" i="40"/>
  <c r="J89" i="40"/>
  <c r="J93" i="40"/>
  <c r="J97" i="40"/>
  <c r="J101" i="40"/>
  <c r="J105" i="40"/>
  <c r="I12" i="40"/>
  <c r="I17" i="40"/>
  <c r="I28" i="40"/>
  <c r="I33" i="40"/>
  <c r="I44" i="40"/>
  <c r="I49" i="40"/>
  <c r="I60" i="40"/>
  <c r="I64" i="40"/>
  <c r="I68" i="40"/>
  <c r="I72" i="40"/>
  <c r="I76" i="40"/>
  <c r="I80" i="40"/>
  <c r="I84" i="40"/>
  <c r="I88" i="40"/>
  <c r="I92" i="40"/>
  <c r="I96" i="40"/>
  <c r="I100" i="40"/>
  <c r="I7" i="40"/>
  <c r="I11" i="40"/>
  <c r="I15" i="40"/>
  <c r="I19" i="40"/>
  <c r="I23" i="40"/>
  <c r="I27" i="40"/>
  <c r="I31" i="40"/>
  <c r="I35" i="40"/>
  <c r="I39" i="40"/>
  <c r="I43" i="40"/>
  <c r="I47" i="40"/>
  <c r="I51" i="40"/>
  <c r="I55" i="40"/>
  <c r="I59" i="40"/>
  <c r="I63" i="40"/>
  <c r="I67" i="40"/>
  <c r="I71" i="40"/>
  <c r="I75" i="40"/>
  <c r="I79" i="40"/>
  <c r="I83" i="40"/>
  <c r="I87" i="40"/>
  <c r="I91" i="40"/>
  <c r="I95" i="40"/>
  <c r="I99" i="40"/>
  <c r="I103" i="40"/>
  <c r="I10" i="40"/>
  <c r="I14" i="40"/>
  <c r="I18" i="40"/>
  <c r="I22" i="40"/>
  <c r="I26" i="40"/>
  <c r="I30" i="40"/>
  <c r="I34" i="40"/>
  <c r="I38" i="40"/>
  <c r="I42" i="40"/>
  <c r="I46" i="40"/>
  <c r="I50" i="40"/>
  <c r="I54" i="40"/>
  <c r="I58" i="40"/>
  <c r="I62" i="40"/>
  <c r="I66" i="40"/>
  <c r="I70" i="40"/>
  <c r="I74" i="40"/>
  <c r="I78" i="40"/>
  <c r="I82" i="40"/>
  <c r="I86" i="40"/>
  <c r="I90" i="40"/>
  <c r="I94" i="40"/>
  <c r="I98" i="40"/>
  <c r="I102" i="40"/>
  <c r="C4" i="18" l="1"/>
  <c r="C7" i="18" s="1"/>
  <c r="E4" i="18" s="1"/>
  <c r="G5" i="16"/>
  <c r="G7" i="16"/>
  <c r="G8" i="16"/>
  <c r="G9" i="16"/>
  <c r="G11" i="16"/>
  <c r="G12" i="16"/>
  <c r="G13" i="16"/>
  <c r="F5" i="16"/>
  <c r="F6" i="16"/>
  <c r="F7" i="16"/>
  <c r="F8" i="16"/>
  <c r="F9" i="16"/>
  <c r="F10" i="16"/>
  <c r="F11" i="16"/>
  <c r="F12" i="16"/>
  <c r="F13" i="16"/>
  <c r="F4" i="16"/>
  <c r="G6" i="16"/>
  <c r="G10" i="16"/>
  <c r="E5" i="15"/>
  <c r="F5" i="15" s="1"/>
  <c r="E6" i="15"/>
  <c r="F6" i="15" s="1"/>
  <c r="E7" i="15"/>
  <c r="F7" i="15" s="1"/>
  <c r="E8" i="15"/>
  <c r="F8" i="15" s="1"/>
  <c r="E9" i="15"/>
  <c r="F9" i="15" s="1"/>
  <c r="E10" i="15"/>
  <c r="F10" i="15" s="1"/>
  <c r="E11" i="15"/>
  <c r="F11" i="15" s="1"/>
  <c r="E12" i="15"/>
  <c r="F12" i="15" s="1"/>
  <c r="E13" i="15"/>
  <c r="F13" i="15" s="1"/>
  <c r="E4" i="15"/>
  <c r="F4" i="15" s="1"/>
  <c r="H5" i="14"/>
  <c r="E5" i="14"/>
  <c r="B6" i="14"/>
  <c r="C5" i="13"/>
  <c r="H8" i="12" l="1"/>
  <c r="D5" i="12"/>
  <c r="D6" i="12"/>
  <c r="D7" i="12"/>
  <c r="D8" i="12"/>
  <c r="D9" i="12"/>
  <c r="D10" i="12"/>
  <c r="D11" i="12"/>
  <c r="D12" i="12"/>
  <c r="D4" i="12"/>
  <c r="D14" i="9"/>
  <c r="C13" i="9"/>
  <c r="B13" i="9"/>
  <c r="E11" i="9"/>
  <c r="E6" i="9"/>
  <c r="C6" i="9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E2" i="5"/>
  <c r="D2" i="5"/>
  <c r="C3" i="8"/>
  <c r="F19" i="9" l="1"/>
  <c r="F20" i="9"/>
  <c r="D13" i="9"/>
  <c r="H3" i="12"/>
</calcChain>
</file>

<file path=xl/comments1.xml><?xml version="1.0" encoding="utf-8"?>
<comments xmlns="http://schemas.openxmlformats.org/spreadsheetml/2006/main">
  <authors>
    <author>Autor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vložen název buňky DPH
Vzorce--&gt;Definované názvy--&gt;Definovat název
Úpravy: Správce názvů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Vložen název buňky DPHn
Vzorce--&gt;Definované názvy--&gt;Definovat název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Běžná ocel</t>
        </r>
      </text>
    </comment>
  </commentList>
</comments>
</file>

<file path=xl/sharedStrings.xml><?xml version="1.0" encoding="utf-8"?>
<sst xmlns="http://schemas.openxmlformats.org/spreadsheetml/2006/main" count="7036" uniqueCount="1194">
  <si>
    <t>RC</t>
  </si>
  <si>
    <t>Narozen</t>
  </si>
  <si>
    <t>Příjmy</t>
  </si>
  <si>
    <t>Výdaje</t>
  </si>
  <si>
    <t>Vzdělání</t>
  </si>
  <si>
    <t>Přibližný věk</t>
  </si>
  <si>
    <t>Výsledná daň</t>
  </si>
  <si>
    <t>RC_641025/1856</t>
  </si>
  <si>
    <t>Střední odborné</t>
  </si>
  <si>
    <t>RC_855721/5566</t>
  </si>
  <si>
    <t>Žádné</t>
  </si>
  <si>
    <t>RC_820502/1026</t>
  </si>
  <si>
    <t>RC_620302/0230</t>
  </si>
  <si>
    <t>Základní</t>
  </si>
  <si>
    <t>RC_631008/8994</t>
  </si>
  <si>
    <t>Střední všeobecné</t>
  </si>
  <si>
    <t>RC_935123/9790</t>
  </si>
  <si>
    <t>Vysokoškolské</t>
  </si>
  <si>
    <t>RC_760615/0542</t>
  </si>
  <si>
    <t>RC_755217/1522</t>
  </si>
  <si>
    <t>RC_806208/9044</t>
  </si>
  <si>
    <t>RC_905516/9172</t>
  </si>
  <si>
    <t>RC_860225/4802</t>
  </si>
  <si>
    <t>RC_935409/6134</t>
  </si>
  <si>
    <t>RC_745727/4274</t>
  </si>
  <si>
    <t>RC_790416/3284</t>
  </si>
  <si>
    <t>RC_560915/2794</t>
  </si>
  <si>
    <t>RC_945721/2420</t>
  </si>
  <si>
    <t>RC_886126/2952</t>
  </si>
  <si>
    <t>RC_606012/9676</t>
  </si>
  <si>
    <t>RC_561231/6942</t>
  </si>
  <si>
    <t>RC_551012/3018</t>
  </si>
  <si>
    <t>RC_730824/1122</t>
  </si>
  <si>
    <t>RC_930416/0990</t>
  </si>
  <si>
    <t>RC_690624/4538</t>
  </si>
  <si>
    <t>RC_701118/0362</t>
  </si>
  <si>
    <t>RC_860811/3084</t>
  </si>
  <si>
    <t>RC_926004/6886</t>
  </si>
  <si>
    <t>RC_696122/7116</t>
  </si>
  <si>
    <t>RC_580522/9366</t>
  </si>
  <si>
    <t>RC_586120/1424</t>
  </si>
  <si>
    <t>RC_860706/6070</t>
  </si>
  <si>
    <t>RC_931029/5440</t>
  </si>
  <si>
    <t>RC_575330/4656</t>
  </si>
  <si>
    <t>RC_615526/4826</t>
  </si>
  <si>
    <t>RC_920503/3930</t>
  </si>
  <si>
    <t>RC_666204/9756</t>
  </si>
  <si>
    <t>RC_565101/2288</t>
  </si>
  <si>
    <t>RC_635526/1888</t>
  </si>
  <si>
    <t>RC_755304/3260</t>
  </si>
  <si>
    <t>RC_791120/1640</t>
  </si>
  <si>
    <t>RC_905823/1312</t>
  </si>
  <si>
    <t>RC_610511/7142</t>
  </si>
  <si>
    <t>RC_895718/4114</t>
  </si>
  <si>
    <t>RC_780929/5250</t>
  </si>
  <si>
    <t>RC_855818/4334</t>
  </si>
  <si>
    <t>RC_875310/6922</t>
  </si>
  <si>
    <t>RC_910218/3590</t>
  </si>
  <si>
    <t>RC_930428/5530</t>
  </si>
  <si>
    <t>RC_890301/0242</t>
  </si>
  <si>
    <t>RC_735905/6926</t>
  </si>
  <si>
    <t>RC_710331/4650</t>
  </si>
  <si>
    <t>RC_725911/5096</t>
  </si>
  <si>
    <t>RC_641016/8240</t>
  </si>
  <si>
    <t>RC_650626/3994</t>
  </si>
  <si>
    <t>RC_911111/5968</t>
  </si>
  <si>
    <t>RC_610528/2134</t>
  </si>
  <si>
    <t>RC_635128/6604</t>
  </si>
  <si>
    <t>RC_620930/3024</t>
  </si>
  <si>
    <t>RC_690420/7776</t>
  </si>
  <si>
    <t>RC_596122/3642</t>
  </si>
  <si>
    <t>RC_741231/9000</t>
  </si>
  <si>
    <t>RC_705629/5026</t>
  </si>
  <si>
    <t>RC_550719/1806</t>
  </si>
  <si>
    <t>RC_920427/8328</t>
  </si>
  <si>
    <t>RC_765705/5474</t>
  </si>
  <si>
    <t>RC_781124/9600</t>
  </si>
  <si>
    <t>RC_796218/9436</t>
  </si>
  <si>
    <t>RC_750521/5344</t>
  </si>
  <si>
    <t>RC_596114/2896</t>
  </si>
  <si>
    <t>RC_655112/3176</t>
  </si>
  <si>
    <t>RC_830110/2288</t>
  </si>
  <si>
    <t>RC_731226/6142</t>
  </si>
  <si>
    <t>RC_875115/9710</t>
  </si>
  <si>
    <t>RC_761212/8774</t>
  </si>
  <si>
    <t>RC_855416/2550</t>
  </si>
  <si>
    <t>RC_696222/0062</t>
  </si>
  <si>
    <t>RC_566225/1942</t>
  </si>
  <si>
    <t>RC_625328/8850</t>
  </si>
  <si>
    <t>RC_845426/7604</t>
  </si>
  <si>
    <t>RC_655216/9664</t>
  </si>
  <si>
    <t>RC_695119/2332</t>
  </si>
  <si>
    <t>RC_635130/9210</t>
  </si>
  <si>
    <t>RC_785420/0832</t>
  </si>
  <si>
    <t>RC_625710/7630</t>
  </si>
  <si>
    <t>RC_556027/4224</t>
  </si>
  <si>
    <t>RC_700110/4666</t>
  </si>
  <si>
    <t>RC_836015/6884</t>
  </si>
  <si>
    <t>RC_561217/5370</t>
  </si>
  <si>
    <t>RC_606112/0724</t>
  </si>
  <si>
    <t>RC_790202/4456</t>
  </si>
  <si>
    <t>RC_665531/2998</t>
  </si>
  <si>
    <t>RC_690517/3970</t>
  </si>
  <si>
    <t>RC_885611/4754</t>
  </si>
  <si>
    <t>RC_800402/6690</t>
  </si>
  <si>
    <t>RC_720323/9968</t>
  </si>
  <si>
    <t>RC_670307/9942</t>
  </si>
  <si>
    <t>RC_770330/7942</t>
  </si>
  <si>
    <t>RC_790918/5530</t>
  </si>
  <si>
    <t>RC_640426/7826</t>
  </si>
  <si>
    <t>RC_720228/4656</t>
  </si>
  <si>
    <t>RC_895208/6930</t>
  </si>
  <si>
    <t>1. kvartál</t>
  </si>
  <si>
    <t>Leden</t>
  </si>
  <si>
    <t>Únor</t>
  </si>
  <si>
    <t>Březen</t>
  </si>
  <si>
    <t>Přípravna</t>
  </si>
  <si>
    <t>Strojovna</t>
  </si>
  <si>
    <t>Lakovna</t>
  </si>
  <si>
    <t>Montáž</t>
  </si>
  <si>
    <t>2. kvartál</t>
  </si>
  <si>
    <t>Duben</t>
  </si>
  <si>
    <t>Květen</t>
  </si>
  <si>
    <t>Červen</t>
  </si>
  <si>
    <t>Navýšení</t>
  </si>
  <si>
    <t>Přenásobení</t>
  </si>
  <si>
    <t>DPH</t>
  </si>
  <si>
    <t>DPH2</t>
  </si>
  <si>
    <t>Den</t>
  </si>
  <si>
    <t>Měsíc</t>
  </si>
  <si>
    <t>Rok</t>
  </si>
  <si>
    <t>Dnes</t>
  </si>
  <si>
    <t>Nyní</t>
  </si>
  <si>
    <t>Celkem</t>
  </si>
  <si>
    <t>oba nad 10000?</t>
  </si>
  <si>
    <t>splnění plánu</t>
  </si>
  <si>
    <t>plán</t>
  </si>
  <si>
    <t>Hranice</t>
  </si>
  <si>
    <t>Student</t>
  </si>
  <si>
    <t>Plch</t>
  </si>
  <si>
    <t>Drozd</t>
  </si>
  <si>
    <t>Dutý</t>
  </si>
  <si>
    <t>Kyselá</t>
  </si>
  <si>
    <t>Od</t>
  </si>
  <si>
    <t>Do</t>
  </si>
  <si>
    <t>Dni</t>
  </si>
  <si>
    <t>Omluveno dne:</t>
  </si>
  <si>
    <t>Počet absencí delších než 5 dnů:</t>
  </si>
  <si>
    <t>Celková délka absencí studenta:</t>
  </si>
  <si>
    <t>Počet neomluvených absencí:</t>
  </si>
  <si>
    <t>Zaokrouhlovací funkce</t>
  </si>
  <si>
    <t>Zaokrouhlit</t>
  </si>
  <si>
    <t>RoundDown</t>
  </si>
  <si>
    <t>RoundUp</t>
  </si>
  <si>
    <t>Splátek ročně:</t>
  </si>
  <si>
    <t>Roční úrok:</t>
  </si>
  <si>
    <t>Splátka:</t>
  </si>
  <si>
    <t>Hodnota půjčky:</t>
  </si>
  <si>
    <t>Celkový počet splátek:</t>
  </si>
  <si>
    <t>Počáteční stav účtu:</t>
  </si>
  <si>
    <t>Počet let spoření:</t>
  </si>
  <si>
    <t>Konečný stav účtu:</t>
  </si>
  <si>
    <t>Pořadí hodnoty v oblasti hodnot</t>
  </si>
  <si>
    <t xml:space="preserve">Lhota </t>
  </si>
  <si>
    <t>Brodek</t>
  </si>
  <si>
    <t>Týnec</t>
  </si>
  <si>
    <t>Hradec</t>
  </si>
  <si>
    <t>Mokrý Brloh</t>
  </si>
  <si>
    <t>Kamenice</t>
  </si>
  <si>
    <t>Malý bvršek</t>
  </si>
  <si>
    <t>Dolní Jalovice</t>
  </si>
  <si>
    <t>Teplá Studánka</t>
  </si>
  <si>
    <t>Suchý Kámen</t>
  </si>
  <si>
    <t>Koně</t>
  </si>
  <si>
    <t xml:space="preserve">Krávy </t>
  </si>
  <si>
    <t>Traktory</t>
  </si>
  <si>
    <t>Pořadí</t>
  </si>
  <si>
    <t>Základní vyhledávací funkce</t>
  </si>
  <si>
    <t>Příjmení</t>
  </si>
  <si>
    <t xml:space="preserve">Jméno </t>
  </si>
  <si>
    <t>Věk</t>
  </si>
  <si>
    <t>Kód</t>
  </si>
  <si>
    <t>Destinace</t>
  </si>
  <si>
    <t>Pojištění</t>
  </si>
  <si>
    <t>Stát</t>
  </si>
  <si>
    <t>Malý</t>
  </si>
  <si>
    <t>Dlouhá</t>
  </si>
  <si>
    <t>Sanytrník</t>
  </si>
  <si>
    <t>Kyselo</t>
  </si>
  <si>
    <t>Kozlík</t>
  </si>
  <si>
    <t>Duhová</t>
  </si>
  <si>
    <t>Strýček</t>
  </si>
  <si>
    <t>Vyprahlo</t>
  </si>
  <si>
    <t>Kropič</t>
  </si>
  <si>
    <t>Sametová</t>
  </si>
  <si>
    <t>Jan</t>
  </si>
  <si>
    <t>Amálie</t>
  </si>
  <si>
    <t>Hugo</t>
  </si>
  <si>
    <t>Imrich</t>
  </si>
  <si>
    <t>Vendelín</t>
  </si>
  <si>
    <t>Elvíra</t>
  </si>
  <si>
    <t>Emil</t>
  </si>
  <si>
    <t>Alexej</t>
  </si>
  <si>
    <t>Vilém</t>
  </si>
  <si>
    <t>Sandra</t>
  </si>
  <si>
    <t>MAK</t>
  </si>
  <si>
    <t>LIP</t>
  </si>
  <si>
    <t>RUJ</t>
  </si>
  <si>
    <t>STR</t>
  </si>
  <si>
    <t>PIE</t>
  </si>
  <si>
    <t>STP</t>
  </si>
  <si>
    <t>HVA</t>
  </si>
  <si>
    <t>HAR</t>
  </si>
  <si>
    <t>Chorvatsko</t>
  </si>
  <si>
    <t>Česko</t>
  </si>
  <si>
    <t>Francie</t>
  </si>
  <si>
    <t>Německo</t>
  </si>
  <si>
    <t>Slovensko</t>
  </si>
  <si>
    <t>Makarská</t>
  </si>
  <si>
    <t>Lipno</t>
  </si>
  <si>
    <t>Saint Tropez</t>
  </si>
  <si>
    <t>Rujana</t>
  </si>
  <si>
    <t>Štrbské Pleso</t>
  </si>
  <si>
    <t>Hvar</t>
  </si>
  <si>
    <t>Piešťany</t>
  </si>
  <si>
    <t>Harrachov</t>
  </si>
  <si>
    <t>Destinace:</t>
  </si>
  <si>
    <t>Aktuální rok:</t>
  </si>
  <si>
    <t>Pojistné podle věku:</t>
  </si>
  <si>
    <t>Pojistné</t>
  </si>
  <si>
    <t>Vnořená funkce</t>
  </si>
  <si>
    <t>Celkem
zaokrouhleno</t>
  </si>
  <si>
    <t>Kontrola vzorců</t>
  </si>
  <si>
    <t>Průměr válce [cm]:</t>
  </si>
  <si>
    <t>Výška válce [cm]:</t>
  </si>
  <si>
    <t>Hmotnost válce [kg]:</t>
  </si>
  <si>
    <r>
      <t>Objem válce [cm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]:</t>
    </r>
  </si>
  <si>
    <r>
      <t>Plocha podstavy [cm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]:</t>
    </r>
  </si>
  <si>
    <r>
      <t>Hustota materiálu [kg/m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]:</t>
    </r>
  </si>
  <si>
    <t>Komentáře</t>
  </si>
  <si>
    <t>Grafy</t>
  </si>
  <si>
    <t>Seznamy</t>
  </si>
  <si>
    <t>Ověřovací pravidlo</t>
  </si>
  <si>
    <t>M</t>
  </si>
  <si>
    <t>Jméno</t>
  </si>
  <si>
    <t>Město</t>
  </si>
  <si>
    <t>Zpoj.</t>
  </si>
  <si>
    <t>Výška</t>
  </si>
  <si>
    <t>Váha</t>
  </si>
  <si>
    <t>Sv</t>
  </si>
  <si>
    <t>Body</t>
  </si>
  <si>
    <t>Výsl.</t>
  </si>
  <si>
    <t>Novák</t>
  </si>
  <si>
    <t>Brázdová</t>
  </si>
  <si>
    <t>Kraváček</t>
  </si>
  <si>
    <t>Krtinová</t>
  </si>
  <si>
    <t>Dluhá</t>
  </si>
  <si>
    <t>Prášil</t>
  </si>
  <si>
    <t>Fejfarová</t>
  </si>
  <si>
    <t>Nývltová</t>
  </si>
  <si>
    <t>Marný</t>
  </si>
  <si>
    <t>Kolomazníková</t>
  </si>
  <si>
    <t>Lapková</t>
  </si>
  <si>
    <t>Vláčilová</t>
  </si>
  <si>
    <t>Antonie</t>
  </si>
  <si>
    <t>Anna</t>
  </si>
  <si>
    <t>Jiří</t>
  </si>
  <si>
    <t>Milena</t>
  </si>
  <si>
    <t>Marie</t>
  </si>
  <si>
    <t>Tomáš</t>
  </si>
  <si>
    <t>Otýlie</t>
  </si>
  <si>
    <t>Jana</t>
  </si>
  <si>
    <t>Daniel</t>
  </si>
  <si>
    <t>Markéta</t>
  </si>
  <si>
    <t>Jiřina</t>
  </si>
  <si>
    <t>Uršula</t>
  </si>
  <si>
    <t>Praha</t>
  </si>
  <si>
    <t>Brno</t>
  </si>
  <si>
    <t>Plzeň</t>
  </si>
  <si>
    <t>Ostrava</t>
  </si>
  <si>
    <t>Liberec</t>
  </si>
  <si>
    <t>Kroměříž</t>
  </si>
  <si>
    <t>Koef.</t>
  </si>
  <si>
    <t>Řazení seznamu</t>
  </si>
  <si>
    <t>Filtrování seznamu</t>
  </si>
  <si>
    <t>&gt;70</t>
  </si>
  <si>
    <t>Databázové funkce</t>
  </si>
  <si>
    <t>Průměrná váha mužů z Prahy:</t>
  </si>
  <si>
    <t>Váha nejlehčí ženy z Brna:</t>
  </si>
  <si>
    <t>Přehledy</t>
  </si>
  <si>
    <t>Souhrny</t>
  </si>
  <si>
    <t xml:space="preserve">Rychlá </t>
  </si>
  <si>
    <t>Praha Průměr</t>
  </si>
  <si>
    <t>Brno Průměr</t>
  </si>
  <si>
    <t>Ostrava Průměr</t>
  </si>
  <si>
    <t>Plzeň Průměr</t>
  </si>
  <si>
    <t>Liberec Průměr</t>
  </si>
  <si>
    <t>Celkový průměr</t>
  </si>
  <si>
    <t>Import dat seznamu z textového souboru</t>
  </si>
  <si>
    <t>Analýza a prezentace dat</t>
  </si>
  <si>
    <t>Základy práce s kontingenční tabulkou</t>
  </si>
  <si>
    <t>Popisky sloupců</t>
  </si>
  <si>
    <t>Celkový součet</t>
  </si>
  <si>
    <t>Popisky řádků</t>
  </si>
  <si>
    <t>(Vše)</t>
  </si>
  <si>
    <t>Obezita</t>
  </si>
  <si>
    <t>Morava</t>
  </si>
  <si>
    <t>Použití stylu buňky</t>
  </si>
  <si>
    <t>Označíme buňku nebo oblast, na kterou chceme styl aplikovat</t>
  </si>
  <si>
    <t>Domů--&gt;Styly--&gt;Styly bunky a vybereme styl</t>
  </si>
  <si>
    <t>Použití stylu tabulky</t>
  </si>
  <si>
    <t>Klepneme na tabulku na kterou chceme aplikovat styl, program odhadne rozsah tabulky (pozor - konce tabulky musí být prázdné sloupce)</t>
  </si>
  <si>
    <t>Domů--&gt;Styly--&gt;Formátovat jako tabulku a vybereme styl (pokud vybíráme styl PTM lze zachovat původní formátování)</t>
  </si>
  <si>
    <t>Př.: použijte na tabulku níže styl tabulky 15 středně sytá</t>
  </si>
  <si>
    <t>Základní formát</t>
  </si>
  <si>
    <t>Vlastní: 'd'</t>
  </si>
  <si>
    <t>Vlastní: 'dd'</t>
  </si>
  <si>
    <t>Vlastní: 'ddd'</t>
  </si>
  <si>
    <t>Vlastní: 'dddd'</t>
  </si>
  <si>
    <t>Vlastní: 'm'</t>
  </si>
  <si>
    <t>Vlastní: 'mm'</t>
  </si>
  <si>
    <t>Vlastní:'mmm'</t>
  </si>
  <si>
    <t>Vlastní: 'rr'</t>
  </si>
  <si>
    <t>Vlastní: 'rrrr'</t>
  </si>
  <si>
    <t>Vlastní: 'mmmm'</t>
  </si>
  <si>
    <t>Vlastní: 'dd. mmmm rrrr'</t>
  </si>
  <si>
    <t>Formát 'Datum'</t>
  </si>
  <si>
    <t>Vlastní: '"datum: "d. mm. rrrr'</t>
  </si>
  <si>
    <t>Vlastní číselný formát buňky</t>
  </si>
  <si>
    <t>Rok 2001</t>
  </si>
  <si>
    <t xml:space="preserve">Místo </t>
  </si>
  <si>
    <t>Výměra</t>
  </si>
  <si>
    <t>Oves</t>
  </si>
  <si>
    <t>Pšenice</t>
  </si>
  <si>
    <t>Ječmen</t>
  </si>
  <si>
    <t>Žito</t>
  </si>
  <si>
    <t>Farmář</t>
  </si>
  <si>
    <t>Příhoda</t>
  </si>
  <si>
    <t>Kyselý</t>
  </si>
  <si>
    <t>Brouzda</t>
  </si>
  <si>
    <t>Státní průměr</t>
  </si>
  <si>
    <t>Brázda</t>
  </si>
  <si>
    <t>Kulatá</t>
  </si>
  <si>
    <t>Újezd</t>
  </si>
  <si>
    <t>Nohavice</t>
  </si>
  <si>
    <t>Kostomlaty</t>
  </si>
  <si>
    <t>Obrázek:</t>
  </si>
  <si>
    <t>Použití vlastního formátu</t>
  </si>
  <si>
    <r>
      <t xml:space="preserve">V oblasti </t>
    </r>
    <r>
      <rPr>
        <b/>
        <sz val="14"/>
        <rFont val="Calibri"/>
        <family val="2"/>
        <charset val="238"/>
        <scheme val="minor"/>
      </rPr>
      <t>D11:D14</t>
    </r>
    <r>
      <rPr>
        <sz val="14"/>
        <rFont val="Calibri"/>
        <family val="2"/>
        <charset val="238"/>
        <scheme val="minor"/>
      </rPr>
      <t xml:space="preserve"> je použit vlastní číselný formát s kódem</t>
    </r>
    <r>
      <rPr>
        <b/>
        <sz val="14"/>
        <rFont val="Calibri"/>
        <family val="2"/>
        <charset val="238"/>
        <scheme val="minor"/>
      </rPr>
      <t xml:space="preserve"> # ##0,0" ha"</t>
    </r>
  </si>
  <si>
    <t>Podmíněné formátování podle obsahu buňky</t>
  </si>
  <si>
    <t>Vybrat typ pravidla: Formátovat všechny buňky na základě hodnot</t>
  </si>
  <si>
    <t xml:space="preserve">Upravit popis pravidla: </t>
  </si>
  <si>
    <t>Styl formátování: Sada ikon</t>
  </si>
  <si>
    <t>Vybrat styl ikon</t>
  </si>
  <si>
    <t>Obrátit pořadí ikon (je-li to potřeba)</t>
  </si>
  <si>
    <t>Nastavit pravidla</t>
  </si>
  <si>
    <t xml:space="preserve">Úkol: </t>
  </si>
  <si>
    <t>Přesouvání a kopírování listů mezi sešity</t>
  </si>
  <si>
    <t xml:space="preserve">Ukázka: </t>
  </si>
  <si>
    <t>do tohoto sešitu na konkrétní místo</t>
  </si>
  <si>
    <t>do tohoto sešitu jako poslední list</t>
  </si>
  <si>
    <t>do jiného sešitu</t>
  </si>
  <si>
    <t>Kopie (přesunutí) listu z tohoto sešitu</t>
  </si>
  <si>
    <t>Pohlaví</t>
  </si>
  <si>
    <t>Datum narození</t>
  </si>
  <si>
    <t>Nastoupil</t>
  </si>
  <si>
    <t>Délka praxe</t>
  </si>
  <si>
    <t>Požadovaná praxe</t>
  </si>
  <si>
    <t>plnění praxe</t>
  </si>
  <si>
    <t>kategorie praxe</t>
  </si>
  <si>
    <t>vzdělání</t>
  </si>
  <si>
    <t>kod1</t>
  </si>
  <si>
    <t>Požadované vzdělání</t>
  </si>
  <si>
    <t>kod2</t>
  </si>
  <si>
    <t>plnění vzdělání</t>
  </si>
  <si>
    <t>směna</t>
  </si>
  <si>
    <t>kategorie</t>
  </si>
  <si>
    <t>funkce</t>
  </si>
  <si>
    <t>Mzda</t>
  </si>
  <si>
    <t>Kovářová</t>
  </si>
  <si>
    <t>žena</t>
  </si>
  <si>
    <t>VYUČ</t>
  </si>
  <si>
    <t>A</t>
  </si>
  <si>
    <t>D</t>
  </si>
  <si>
    <t>2. Strojník</t>
  </si>
  <si>
    <t>Zeman</t>
  </si>
  <si>
    <t>Petr</t>
  </si>
  <si>
    <t>muž</t>
  </si>
  <si>
    <t>mleč</t>
  </si>
  <si>
    <t>Pokorný</t>
  </si>
  <si>
    <t>Z</t>
  </si>
  <si>
    <t>balič</t>
  </si>
  <si>
    <t>Gut</t>
  </si>
  <si>
    <t>Andrej</t>
  </si>
  <si>
    <t>lisař</t>
  </si>
  <si>
    <t>Hlinka</t>
  </si>
  <si>
    <t>strojvedoucí</t>
  </si>
  <si>
    <t>Slabihoudová</t>
  </si>
  <si>
    <t>Šárka</t>
  </si>
  <si>
    <t>SŠ</t>
  </si>
  <si>
    <t>laborant</t>
  </si>
  <si>
    <t>Plechatý</t>
  </si>
  <si>
    <t>3. Strojník</t>
  </si>
  <si>
    <t>Jirásek</t>
  </si>
  <si>
    <t>Alois</t>
  </si>
  <si>
    <t>T</t>
  </si>
  <si>
    <t>mistr</t>
  </si>
  <si>
    <t>Škvor</t>
  </si>
  <si>
    <t>Ferdinand</t>
  </si>
  <si>
    <t>1. Strojník</t>
  </si>
  <si>
    <t>Jouza</t>
  </si>
  <si>
    <t>převinovač</t>
  </si>
  <si>
    <t>Hamáček</t>
  </si>
  <si>
    <t>Miloš</t>
  </si>
  <si>
    <t>B</t>
  </si>
  <si>
    <t>Stránská</t>
  </si>
  <si>
    <t>Eva</t>
  </si>
  <si>
    <t>Humr</t>
  </si>
  <si>
    <t>Klement</t>
  </si>
  <si>
    <t>Daněk</t>
  </si>
  <si>
    <t>Palyzová</t>
  </si>
  <si>
    <t>Květoslava</t>
  </si>
  <si>
    <t>Adámek</t>
  </si>
  <si>
    <t>Pavel</t>
  </si>
  <si>
    <t>Ženatý</t>
  </si>
  <si>
    <t>Filip</t>
  </si>
  <si>
    <t>Císařová</t>
  </si>
  <si>
    <t>Jizera</t>
  </si>
  <si>
    <t>Jindrák</t>
  </si>
  <si>
    <t>Zdeněk</t>
  </si>
  <si>
    <t>Rybář</t>
  </si>
  <si>
    <t>C</t>
  </si>
  <si>
    <t>Žoužel</t>
  </si>
  <si>
    <t>Semerádová</t>
  </si>
  <si>
    <t>Stanislava</t>
  </si>
  <si>
    <t>Hudeček</t>
  </si>
  <si>
    <t>Janeček</t>
  </si>
  <si>
    <t>Zličínský</t>
  </si>
  <si>
    <t>Oskar</t>
  </si>
  <si>
    <t>Hašek</t>
  </si>
  <si>
    <t>Antonín</t>
  </si>
  <si>
    <t>Rameš</t>
  </si>
  <si>
    <t>Kronová</t>
  </si>
  <si>
    <t>Pavlata</t>
  </si>
  <si>
    <t>Gabriel</t>
  </si>
  <si>
    <t>Racková</t>
  </si>
  <si>
    <t>Kohák</t>
  </si>
  <si>
    <t>Pasta</t>
  </si>
  <si>
    <t>František</t>
  </si>
  <si>
    <t>Rýnská</t>
  </si>
  <si>
    <t>Denisa</t>
  </si>
  <si>
    <t>Komárková</t>
  </si>
  <si>
    <t>Pospíchalová</t>
  </si>
  <si>
    <t>Dvořák</t>
  </si>
  <si>
    <t>Jaroslav</t>
  </si>
  <si>
    <t>Jenišovský</t>
  </si>
  <si>
    <t>Svatopluk</t>
  </si>
  <si>
    <t>Praveček</t>
  </si>
  <si>
    <t>Miloslav</t>
  </si>
  <si>
    <t>Penál</t>
  </si>
  <si>
    <t>kontrola</t>
  </si>
  <si>
    <t>Žížalová</t>
  </si>
  <si>
    <t>Hedvika</t>
  </si>
  <si>
    <t>Brodský</t>
  </si>
  <si>
    <t>Miroslav</t>
  </si>
  <si>
    <t>VŠ</t>
  </si>
  <si>
    <t>vedoucí kontroly</t>
  </si>
  <si>
    <t>Králová</t>
  </si>
  <si>
    <t>Vlasta</t>
  </si>
  <si>
    <t>Lamačová</t>
  </si>
  <si>
    <t>Věra</t>
  </si>
  <si>
    <t>technik laboratoře</t>
  </si>
  <si>
    <t>Ištóková</t>
  </si>
  <si>
    <t>Gizela</t>
  </si>
  <si>
    <t>sklad</t>
  </si>
  <si>
    <t>skladník</t>
  </si>
  <si>
    <t>Prokop</t>
  </si>
  <si>
    <t>Zima</t>
  </si>
  <si>
    <t>Nosák</t>
  </si>
  <si>
    <t>Otrava</t>
  </si>
  <si>
    <t>Fučík</t>
  </si>
  <si>
    <t>Veselý</t>
  </si>
  <si>
    <t>Stanislav</t>
  </si>
  <si>
    <t>řidič</t>
  </si>
  <si>
    <t>Wagner</t>
  </si>
  <si>
    <t>Josef</t>
  </si>
  <si>
    <t>Gottwaldová</t>
  </si>
  <si>
    <t>Faustová</t>
  </si>
  <si>
    <t>správa</t>
  </si>
  <si>
    <t>vedoucí marketngu</t>
  </si>
  <si>
    <t>Tupý</t>
  </si>
  <si>
    <t>uklízečka</t>
  </si>
  <si>
    <t>Janáčková</t>
  </si>
  <si>
    <t>Emilie</t>
  </si>
  <si>
    <t>sekretářka</t>
  </si>
  <si>
    <t>Železný</t>
  </si>
  <si>
    <t>technik</t>
  </si>
  <si>
    <t>Myslivec</t>
  </si>
  <si>
    <t>ekolog</t>
  </si>
  <si>
    <t>Joubalová</t>
  </si>
  <si>
    <t>účetní</t>
  </si>
  <si>
    <t>Menčík</t>
  </si>
  <si>
    <t>Sovák</t>
  </si>
  <si>
    <t>svačinář</t>
  </si>
  <si>
    <t>Opavská</t>
  </si>
  <si>
    <t>referent</t>
  </si>
  <si>
    <t>technolog</t>
  </si>
  <si>
    <t>Jonák</t>
  </si>
  <si>
    <t>Piskořová</t>
  </si>
  <si>
    <t>Sekaná</t>
  </si>
  <si>
    <t>Pavla</t>
  </si>
  <si>
    <t>vedoucí střediska</t>
  </si>
  <si>
    <t>Syslová</t>
  </si>
  <si>
    <t>Dana</t>
  </si>
  <si>
    <t>údržba</t>
  </si>
  <si>
    <t>Pancíř</t>
  </si>
  <si>
    <t>elektrikář</t>
  </si>
  <si>
    <t>Chomáč</t>
  </si>
  <si>
    <t>Dezider</t>
  </si>
  <si>
    <t>Urban</t>
  </si>
  <si>
    <t>jeřábník</t>
  </si>
  <si>
    <t>Tikal</t>
  </si>
  <si>
    <t>Müller</t>
  </si>
  <si>
    <t>svářeč</t>
  </si>
  <si>
    <t>Roubal</t>
  </si>
  <si>
    <t>Marian</t>
  </si>
  <si>
    <t>Lysá</t>
  </si>
  <si>
    <t>Hroch</t>
  </si>
  <si>
    <t>pomocný dělník</t>
  </si>
  <si>
    <t>Pšenica</t>
  </si>
  <si>
    <t>Otakar</t>
  </si>
  <si>
    <t>zámečník</t>
  </si>
  <si>
    <t>Tomášek</t>
  </si>
  <si>
    <t>Václav</t>
  </si>
  <si>
    <t>Vysoká</t>
  </si>
  <si>
    <t>Zuzana</t>
  </si>
  <si>
    <t>Horák</t>
  </si>
  <si>
    <t>Ťavová</t>
  </si>
  <si>
    <t>Simona</t>
  </si>
  <si>
    <t>svačinářka</t>
  </si>
  <si>
    <t>Stoklasa</t>
  </si>
  <si>
    <t>Typlt</t>
  </si>
  <si>
    <t>Brom</t>
  </si>
  <si>
    <t>Gustav</t>
  </si>
  <si>
    <t>technolog svařování</t>
  </si>
  <si>
    <t>Rak</t>
  </si>
  <si>
    <t>technik elektro</t>
  </si>
  <si>
    <t>Pospíšek</t>
  </si>
  <si>
    <t>Karel</t>
  </si>
  <si>
    <t>Šipl</t>
  </si>
  <si>
    <t>Vladimír</t>
  </si>
  <si>
    <t>Lysý</t>
  </si>
  <si>
    <t>Hudec</t>
  </si>
  <si>
    <t>technik MR</t>
  </si>
  <si>
    <t>Kolínský</t>
  </si>
  <si>
    <t>mechanik MR</t>
  </si>
  <si>
    <t>Epingerová</t>
  </si>
  <si>
    <t>Ploutev</t>
  </si>
  <si>
    <t>Táborský</t>
  </si>
  <si>
    <t>Květoslav</t>
  </si>
  <si>
    <t>Pospíchal</t>
  </si>
  <si>
    <t>Šimravá</t>
  </si>
  <si>
    <t>Kameš</t>
  </si>
  <si>
    <t>Milouš</t>
  </si>
  <si>
    <t>vedoucí údržby</t>
  </si>
  <si>
    <t>Klofák</t>
  </si>
  <si>
    <t>Vosáhlo</t>
  </si>
  <si>
    <t>Řízek</t>
  </si>
  <si>
    <t>Čestmír</t>
  </si>
  <si>
    <t>Rozdělení okna příčkami</t>
  </si>
  <si>
    <t>UKOTVENÝMI</t>
  </si>
  <si>
    <t>NEUKOTVENÝMI</t>
  </si>
  <si>
    <t xml:space="preserve">Popis příkladu: </t>
  </si>
  <si>
    <t>List je rozdělen ukotvenými příčkami, a to:</t>
  </si>
  <si>
    <t xml:space="preserve">     * Vodorovnou příčkou mezi řádky 7 a 8</t>
  </si>
  <si>
    <t xml:space="preserve">     * Svislou příčkou mezi sloupci B a C</t>
  </si>
  <si>
    <t>Příčky nelze přesouvat. Při rolování zůstává vždy horní a levá část listu zobrazena.</t>
  </si>
  <si>
    <t>Skrývání a zobrazování listů, řádků a sloupců</t>
  </si>
  <si>
    <t>Požadovaná 
praxe</t>
  </si>
  <si>
    <t>plnění
praxe</t>
  </si>
  <si>
    <t>kategorie 
praxe</t>
  </si>
  <si>
    <t>Délka 
praxe</t>
  </si>
  <si>
    <t>Příklad: zobraz skryté sloupce E a F a  skryté řádky 26, 27 a 28.</t>
  </si>
  <si>
    <r>
      <t xml:space="preserve">Vložení obsahu schránky pomocí </t>
    </r>
    <r>
      <rPr>
        <b/>
        <sz val="14"/>
        <color theme="1"/>
        <rFont val="Calibri"/>
        <family val="2"/>
        <charset val="238"/>
        <scheme val="minor"/>
      </rPr>
      <t>Vložit jinak</t>
    </r>
  </si>
  <si>
    <r>
      <t xml:space="preserve">Vložení obsahu schránky pomocí </t>
    </r>
    <r>
      <rPr>
        <b/>
        <sz val="14"/>
        <color theme="1"/>
        <rFont val="Calibri"/>
        <family val="2"/>
        <charset val="238"/>
        <scheme val="minor"/>
      </rPr>
      <t>Vložit jinak (operace)</t>
    </r>
  </si>
  <si>
    <t>Cena 
bez DPH</t>
  </si>
  <si>
    <t xml:space="preserve">Cena 
s DPH </t>
  </si>
  <si>
    <t>Cena 
s DPH2</t>
  </si>
  <si>
    <t>leden-březen</t>
  </si>
  <si>
    <t>Vyzkoušejte:</t>
  </si>
  <si>
    <t>Sečti hodnoty z buňky G2 za leden - březen a vlož do I7</t>
  </si>
  <si>
    <t>Dnes je:</t>
  </si>
  <si>
    <t>aktuální datum</t>
  </si>
  <si>
    <t>včera</t>
  </si>
  <si>
    <t>Kardašova          Řečice</t>
  </si>
  <si>
    <t>alespoň jeden?</t>
  </si>
  <si>
    <t>Výroba Leden - Únor</t>
  </si>
  <si>
    <t>Plán za dva měsíce</t>
  </si>
  <si>
    <t>Podmíněné souhrnné výpočty</t>
  </si>
  <si>
    <r>
      <t>=</t>
    </r>
    <r>
      <rPr>
        <b/>
        <sz val="11"/>
        <color theme="1"/>
        <rFont val="Calibri"/>
        <family val="2"/>
        <charset val="238"/>
        <scheme val="minor"/>
      </rPr>
      <t>COUNTIF</t>
    </r>
    <r>
      <rPr>
        <sz val="11"/>
        <color theme="1"/>
        <rFont val="Calibri"/>
        <family val="2"/>
        <charset val="238"/>
        <scheme val="minor"/>
      </rPr>
      <t>(D4:D12;"&gt;5")</t>
    </r>
  </si>
  <si>
    <r>
      <t>=</t>
    </r>
    <r>
      <rPr>
        <b/>
        <sz val="11"/>
        <color theme="1"/>
        <rFont val="Calibri"/>
        <family val="2"/>
        <charset val="238"/>
        <scheme val="minor"/>
      </rPr>
      <t>SUMIF</t>
    </r>
    <r>
      <rPr>
        <sz val="11"/>
        <color theme="1"/>
        <rFont val="Calibri"/>
        <family val="2"/>
        <charset val="238"/>
        <scheme val="minor"/>
      </rPr>
      <t>(A4:A12;G6;D4:D12)</t>
    </r>
  </si>
  <si>
    <r>
      <t>=</t>
    </r>
    <r>
      <rPr>
        <b/>
        <sz val="11"/>
        <color theme="1"/>
        <rFont val="Calibri"/>
        <family val="2"/>
        <charset val="238"/>
        <scheme val="minor"/>
      </rPr>
      <t>COUNTBLANK</t>
    </r>
    <r>
      <rPr>
        <sz val="11"/>
        <color theme="1"/>
        <rFont val="Calibri"/>
        <family val="2"/>
        <charset val="238"/>
        <scheme val="minor"/>
      </rPr>
      <t>(E4:E12)</t>
    </r>
  </si>
  <si>
    <t>Finanční funkce</t>
  </si>
  <si>
    <t>Osob</t>
  </si>
  <si>
    <t>Procent</t>
  </si>
  <si>
    <t>Muž</t>
  </si>
  <si>
    <t>Žena</t>
  </si>
  <si>
    <t>Neuvedeno</t>
  </si>
  <si>
    <t>Celkem odpovídalo osob</t>
  </si>
  <si>
    <t>Krajský průměr</t>
  </si>
  <si>
    <t>Okresní průměr</t>
  </si>
  <si>
    <t>Globální charakteristiky:</t>
  </si>
  <si>
    <t>Zadání: úkol 7</t>
  </si>
  <si>
    <t>strana 41 - 49</t>
  </si>
  <si>
    <t>Výroba</t>
  </si>
  <si>
    <t>Starý</t>
  </si>
  <si>
    <t>leden</t>
  </si>
  <si>
    <t>únor</t>
  </si>
  <si>
    <t>březen</t>
  </si>
  <si>
    <t>Mladá</t>
  </si>
  <si>
    <t>&lt;180</t>
  </si>
  <si>
    <t>&lt;183</t>
  </si>
  <si>
    <t>Boskovice</t>
  </si>
  <si>
    <t>Seřadit podle výšky - od nejvyššího k nejmenšímu</t>
  </si>
  <si>
    <t>Seřadit podle dvou kritérií - nejprve podle pohlaví a potom podle města</t>
  </si>
  <si>
    <t>Seřazení seznamu podle vlastního pořadí (Boskovice, Praha, Brno, Ostrava, Plzeň, Liberec, Kroměříž)</t>
  </si>
  <si>
    <t>Krátká</t>
  </si>
  <si>
    <t>Tučný</t>
  </si>
  <si>
    <t>Marek</t>
  </si>
  <si>
    <t>Mareček</t>
  </si>
  <si>
    <t>Poláčková</t>
  </si>
  <si>
    <t>Čistota</t>
  </si>
  <si>
    <t>Pobertová</t>
  </si>
  <si>
    <t>Páčilová</t>
  </si>
  <si>
    <t>Toufarová</t>
  </si>
  <si>
    <t>Koutná</t>
  </si>
  <si>
    <t>Sedláková</t>
  </si>
  <si>
    <t>Havlová</t>
  </si>
  <si>
    <t>Františka</t>
  </si>
  <si>
    <t>Michael</t>
  </si>
  <si>
    <t>Cecilie</t>
  </si>
  <si>
    <t>Frýda</t>
  </si>
  <si>
    <t>Alena</t>
  </si>
  <si>
    <t>Hana</t>
  </si>
  <si>
    <t>Julie</t>
  </si>
  <si>
    <t>Kokoška</t>
  </si>
  <si>
    <t>Látal</t>
  </si>
  <si>
    <t>Nováková</t>
  </si>
  <si>
    <t>Neuvirthová</t>
  </si>
  <si>
    <t>Packal</t>
  </si>
  <si>
    <t>Ela</t>
  </si>
  <si>
    <t>David</t>
  </si>
  <si>
    <t>&lt;=180</t>
  </si>
  <si>
    <t>&gt;=78</t>
  </si>
  <si>
    <t>&gt;1.1.1978</t>
  </si>
  <si>
    <t>Novotný</t>
  </si>
  <si>
    <t>Nezbeda</t>
  </si>
  <si>
    <t>Pahýl</t>
  </si>
  <si>
    <t>Poslíček</t>
  </si>
  <si>
    <t>Ráčel</t>
  </si>
  <si>
    <t>Hans</t>
  </si>
  <si>
    <t>Drahovzal</t>
  </si>
  <si>
    <t>Vrtal</t>
  </si>
  <si>
    <t>Bouchal</t>
  </si>
  <si>
    <t>150-159</t>
  </si>
  <si>
    <t>160-169</t>
  </si>
  <si>
    <t>170-179</t>
  </si>
  <si>
    <t>180-190</t>
  </si>
  <si>
    <t>Čechy</t>
  </si>
  <si>
    <t>Průměr z Výsl.</t>
  </si>
  <si>
    <t>Celkem Průměrná Výška</t>
  </si>
  <si>
    <t>Průměrná Výška</t>
  </si>
  <si>
    <t>Celkem Průměrná Váha</t>
  </si>
  <si>
    <t>Průměrná Váha</t>
  </si>
  <si>
    <t>Počet pracovníků</t>
  </si>
  <si>
    <t>Zisk</t>
  </si>
  <si>
    <t>Zisk na pracovníka</t>
  </si>
  <si>
    <t>&lt;78</t>
  </si>
  <si>
    <t>&gt;60</t>
  </si>
  <si>
    <t>Průměrná výška mužů z Prahy:</t>
  </si>
  <si>
    <t>Průměrná váha mužů z Prahy a Brna:</t>
  </si>
  <si>
    <t>Váha nejtěžšího muže z Brna:</t>
  </si>
  <si>
    <t>Průměrná výška žen z Prahy a Brna:</t>
  </si>
  <si>
    <t>Průměr z Váha</t>
  </si>
  <si>
    <t>Skupina1</t>
  </si>
  <si>
    <t>Průměr z Koef.</t>
  </si>
  <si>
    <t>Oblast</t>
  </si>
  <si>
    <t>150-190</t>
  </si>
  <si>
    <t>Průměr z Výška</t>
  </si>
  <si>
    <t>=DEN(B7)</t>
  </si>
  <si>
    <t>=MĚSÍC(B7)</t>
  </si>
  <si>
    <t>=ROK(B7)</t>
  </si>
  <si>
    <t>=DNES()</t>
  </si>
  <si>
    <t>=NYNÍ()</t>
  </si>
  <si>
    <t>Datum</t>
  </si>
  <si>
    <t>Obecný</t>
  </si>
  <si>
    <t>Vlastní</t>
  </si>
  <si>
    <t>vl. formát "rr"</t>
  </si>
  <si>
    <t>počítá i s přestupným rokem</t>
  </si>
  <si>
    <t>=DENTÝDNE(B14;2)</t>
  </si>
  <si>
    <t>=HODINA(B16)</t>
  </si>
  <si>
    <t>=MINUTA(B16)</t>
  </si>
  <si>
    <t>=SEKUNDA(B16)</t>
  </si>
  <si>
    <t>=MĚSÍC(B13)</t>
  </si>
  <si>
    <t>=NETWORKDAYS(B13;C14)</t>
  </si>
  <si>
    <t>=NETWORKDAYS.INTL(B14;C14;1;1)</t>
  </si>
  <si>
    <t>=YEARFRAC(C22;B22)</t>
  </si>
  <si>
    <t>středa</t>
  </si>
  <si>
    <t>Číselná hodnota argumentu Víkend</t>
  </si>
  <si>
    <t>Víkendové dny</t>
  </si>
  <si>
    <t>1 nebo neuveden</t>
  </si>
  <si>
    <t>Sobota, neděle</t>
  </si>
  <si>
    <t>Neděle, pondělí</t>
  </si>
  <si>
    <t>Pondělí, úterý</t>
  </si>
  <si>
    <t>Úterý, středa</t>
  </si>
  <si>
    <t>Středa, čtvrtek</t>
  </si>
  <si>
    <t>Čtvrtek, pátek</t>
  </si>
  <si>
    <t>Pátek, sobota</t>
  </si>
  <si>
    <t>Pouze neděle</t>
  </si>
  <si>
    <t>Pouze pondělí</t>
  </si>
  <si>
    <t>Pouze úterý</t>
  </si>
  <si>
    <t>Pouze středa</t>
  </si>
  <si>
    <t>Pouze čtvrtek</t>
  </si>
  <si>
    <t>Pouze pátek</t>
  </si>
  <si>
    <t>Pouze sobota</t>
  </si>
  <si>
    <r>
      <t xml:space="preserve">Řetězcové hodnoty víkendu mají délku sedm znaků a každý znak v řetězci představuje jeden den v týdnu, počínaje pondělím. Znak </t>
    </r>
    <r>
      <rPr>
        <b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představuje nepracovní den a znak </t>
    </r>
    <r>
      <rPr>
        <b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 xml:space="preserve"> pracovní den. V řetězci jsou povoleny pouze znaky </t>
    </r>
    <r>
      <rPr>
        <b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a 0. Použijete-li řetězec 1111111, bude vždy vrácena hodnota 0.</t>
    </r>
  </si>
  <si>
    <r>
      <t xml:space="preserve">Řetězec </t>
    </r>
    <r>
      <rPr>
        <b/>
        <sz val="11"/>
        <color theme="1"/>
        <rFont val="Calibri"/>
        <family val="2"/>
        <charset val="238"/>
        <scheme val="minor"/>
      </rPr>
      <t>0000011</t>
    </r>
    <r>
      <rPr>
        <sz val="11"/>
        <color theme="1"/>
        <rFont val="Calibri"/>
        <family val="2"/>
        <charset val="238"/>
        <scheme val="minor"/>
      </rPr>
      <t xml:space="preserve"> například znamená, že víkend je v sobotu a neděli.</t>
    </r>
  </si>
  <si>
    <t>Počet celých pracovních dní mezi zadanými daty</t>
  </si>
  <si>
    <t xml:space="preserve">54r 3 m 12d </t>
  </si>
  <si>
    <t>=PROČISTIT(B4)</t>
  </si>
  <si>
    <t>=ZLEVA(B6;2)</t>
  </si>
  <si>
    <t>=ZPRAVA(B6;3)</t>
  </si>
  <si>
    <t>=ČÁST(B6;6;4)</t>
  </si>
  <si>
    <t>=CONCATENATE(B7;"--";B8;"-";B9)</t>
  </si>
  <si>
    <t>=B7&amp;"--"&amp;B8&amp;"-"&amp;B9</t>
  </si>
  <si>
    <t>=DÉLKA(B4)</t>
  </si>
  <si>
    <t>=DÉLKA(B6)</t>
  </si>
  <si>
    <t>=DOSADIT(B6;"Ře";"Vl")</t>
  </si>
  <si>
    <t>=HLEDAT("da";B6)</t>
  </si>
  <si>
    <t>565/55</t>
  </si>
  <si>
    <t>65</t>
  </si>
  <si>
    <t>=HODNOTA(B16)</t>
  </si>
  <si>
    <t>=HODNOTA.NA.TEXT(B17;"#0,00")</t>
  </si>
  <si>
    <t>=KČ(B18;2)</t>
  </si>
  <si>
    <t>=C11-B11  --&gt;</t>
  </si>
  <si>
    <t>=den(C3)</t>
  </si>
  <si>
    <t>=mesic(C3)</t>
  </si>
  <si>
    <t>=ROK(C3)</t>
  </si>
  <si>
    <t>=dnes()</t>
  </si>
  <si>
    <t>=nyní()</t>
  </si>
  <si>
    <t>Formátování:</t>
  </si>
  <si>
    <t>"rr"</t>
  </si>
  <si>
    <t>"rrrr"</t>
  </si>
  <si>
    <t>Počet let mezi dvěma datumy:</t>
  </si>
  <si>
    <t>=c15-c14</t>
  </si>
  <si>
    <t>formát "rr"</t>
  </si>
  <si>
    <t>=DENTÝDNE(B18;2)</t>
  </si>
  <si>
    <t>=MĚSÍC(B18)</t>
  </si>
  <si>
    <t>=HODINA(B19)</t>
  </si>
  <si>
    <t>=MINUTA(B19)</t>
  </si>
  <si>
    <t>=SEKUNDA(B19)</t>
  </si>
  <si>
    <t>=NETWORKDAYS(B18;dnes())</t>
  </si>
  <si>
    <t>Práce s daty</t>
  </si>
  <si>
    <r>
      <t xml:space="preserve">Vložení obsahu schránky pomocí </t>
    </r>
    <r>
      <rPr>
        <b/>
        <sz val="14"/>
        <color rgb="FFFF0000"/>
        <rFont val="Calibri"/>
        <family val="2"/>
        <charset val="238"/>
        <scheme val="minor"/>
      </rPr>
      <t>Vložit jinak</t>
    </r>
  </si>
  <si>
    <r>
      <t xml:space="preserve">Vložení obsahu schránky pomocí </t>
    </r>
    <r>
      <rPr>
        <b/>
        <sz val="14"/>
        <color rgb="FFFF0000"/>
        <rFont val="Calibri"/>
        <family val="2"/>
        <charset val="238"/>
        <scheme val="minor"/>
      </rPr>
      <t>Vložit jinak (operace)</t>
    </r>
  </si>
  <si>
    <t>Výnosy z prodeje</t>
  </si>
  <si>
    <t>Množství kg</t>
  </si>
  <si>
    <t>Cena/kg</t>
  </si>
  <si>
    <t>Spotřeba</t>
  </si>
  <si>
    <t>Výnos</t>
  </si>
  <si>
    <t>Číselné řady (geom.)</t>
  </si>
  <si>
    <t>Dynamické vyplňování</t>
  </si>
  <si>
    <t>Úpravy&gt;Vyplnit(2.ikona)</t>
  </si>
  <si>
    <t>Jarda Synek synek@seznam.cz</t>
  </si>
  <si>
    <t>Jarda</t>
  </si>
  <si>
    <t>Synek</t>
  </si>
  <si>
    <t>synek@seznam.cz</t>
  </si>
  <si>
    <t>Jan Havel havel@gmail.com</t>
  </si>
  <si>
    <t>Jitka Malá mala@yahoo.com</t>
  </si>
  <si>
    <t>Jitka</t>
  </si>
  <si>
    <t>Hana Gabrielová gabi@email.cz</t>
  </si>
  <si>
    <t>Eva Rolná evik@gmail.com</t>
  </si>
  <si>
    <t>Jiří Visinger visinger@tiscali.cz</t>
  </si>
  <si>
    <t>Hans Gruber gruber@snaper.com</t>
  </si>
  <si>
    <t>První sloupec rozdělím podle požadavků</t>
  </si>
  <si>
    <t>Přejděte na buňku ve které máte jméno (nelze označit více buněk dynamické doplňování nezvládne, pouze jednu buňku).</t>
  </si>
  <si>
    <t>Data skupina &gt; Datové nástroje &gt; Dynamické doplňování - Jména se vyplní automaticky. Pokračujte pro příjmení a email.</t>
  </si>
  <si>
    <t>nebo Domů &gt; Úpravy &gt; Vyplnit &gt; Dynamické doplňování</t>
  </si>
  <si>
    <t>CTRL + E</t>
  </si>
  <si>
    <t>Záměna jména a příjmení, iniciály (pomocí dynamického doplňování)</t>
  </si>
  <si>
    <t>Synek Jarda</t>
  </si>
  <si>
    <t>Jarda Synek</t>
  </si>
  <si>
    <t>JS</t>
  </si>
  <si>
    <t>Havel Jan</t>
  </si>
  <si>
    <t>Jan Havel</t>
  </si>
  <si>
    <t>JH</t>
  </si>
  <si>
    <t>Domů &gt; Úpravy &gt; vlevo uprostřed (šipka dolů)</t>
  </si>
  <si>
    <t>Malá Jitka</t>
  </si>
  <si>
    <t>Jitka Malá</t>
  </si>
  <si>
    <t>JM</t>
  </si>
  <si>
    <t>Gabrielová Hana</t>
  </si>
  <si>
    <t>Hana Gabrielová</t>
  </si>
  <si>
    <t>HG</t>
  </si>
  <si>
    <t>Rolná Eva</t>
  </si>
  <si>
    <t>Eva Rolná</t>
  </si>
  <si>
    <t>ER</t>
  </si>
  <si>
    <t>Visinger Jiří</t>
  </si>
  <si>
    <t>Jiří Visinger</t>
  </si>
  <si>
    <t>JV</t>
  </si>
  <si>
    <t>Gruber Hans</t>
  </si>
  <si>
    <t>Hans Gruber</t>
  </si>
  <si>
    <t>Řazení</t>
  </si>
  <si>
    <t>příjmení</t>
  </si>
  <si>
    <t>město</t>
  </si>
  <si>
    <t>váha</t>
  </si>
  <si>
    <t>výška</t>
  </si>
  <si>
    <t>věk</t>
  </si>
  <si>
    <t>Adam</t>
  </si>
  <si>
    <t>Krátký</t>
  </si>
  <si>
    <t>Dokonalá</t>
  </si>
  <si>
    <t>Hutý</t>
  </si>
  <si>
    <t>Blansko</t>
  </si>
  <si>
    <t>Kvapivá</t>
  </si>
  <si>
    <t>Ťoupek</t>
  </si>
  <si>
    <t xml:space="preserve">Zrušit opakující se data v seznamu (např. sloupec město) </t>
  </si>
  <si>
    <t>Pracovitá</t>
  </si>
  <si>
    <t>Zkopírovat do pomocného sloupce</t>
  </si>
  <si>
    <t>Řídká</t>
  </si>
  <si>
    <t>Záložka Data &gt; Datové nástroje &gt; Odebrat duplicity</t>
  </si>
  <si>
    <t>Levická</t>
  </si>
  <si>
    <t>Chňoupková</t>
  </si>
  <si>
    <t>Řazení dat podle vlastního seznamu:</t>
  </si>
  <si>
    <t>Silný</t>
  </si>
  <si>
    <t>Vybrat celou tabulku!</t>
  </si>
  <si>
    <t>Diana</t>
  </si>
  <si>
    <t>Lenivá</t>
  </si>
  <si>
    <t>Záložka Data &gt;  Seřadit a filtrovat &gt; Seřadit</t>
  </si>
  <si>
    <t>Iva</t>
  </si>
  <si>
    <t>Malá</t>
  </si>
  <si>
    <t>Data obsahují záhlaví</t>
  </si>
  <si>
    <t>Lavický</t>
  </si>
  <si>
    <t>Seřadit podle</t>
  </si>
  <si>
    <t>Nerád</t>
  </si>
  <si>
    <t>Způsob řazení</t>
  </si>
  <si>
    <t>Slabá</t>
  </si>
  <si>
    <t>Adamov</t>
  </si>
  <si>
    <t>Pořadí (vlastní seznam...)</t>
  </si>
  <si>
    <t>Otto</t>
  </si>
  <si>
    <t>Velký</t>
  </si>
  <si>
    <t>Aš</t>
  </si>
  <si>
    <t>Přidat úroveň</t>
  </si>
  <si>
    <t>Sýkorová</t>
  </si>
  <si>
    <t>Kasalová</t>
  </si>
  <si>
    <t>Beroun</t>
  </si>
  <si>
    <t>Potupná</t>
  </si>
  <si>
    <t>Bratislava</t>
  </si>
  <si>
    <t>Lopucha</t>
  </si>
  <si>
    <t>Břeclav</t>
  </si>
  <si>
    <t>Frída</t>
  </si>
  <si>
    <t>Bystřice</t>
  </si>
  <si>
    <t>Hodná</t>
  </si>
  <si>
    <t>Kolín</t>
  </si>
  <si>
    <t>Korecký</t>
  </si>
  <si>
    <t>Libová</t>
  </si>
  <si>
    <t>Olomouc</t>
  </si>
  <si>
    <t>Líbivá</t>
  </si>
  <si>
    <t>Zlobivý</t>
  </si>
  <si>
    <t>Pardubice</t>
  </si>
  <si>
    <t>Halamová</t>
  </si>
  <si>
    <t>Stará</t>
  </si>
  <si>
    <t>Krákora</t>
  </si>
  <si>
    <t>Pažout</t>
  </si>
  <si>
    <t>Prostějov</t>
  </si>
  <si>
    <t>Hluchý</t>
  </si>
  <si>
    <t>Svitavy</t>
  </si>
  <si>
    <t>Široká</t>
  </si>
  <si>
    <t>Znojmo</t>
  </si>
  <si>
    <t>Opatrný</t>
  </si>
  <si>
    <t>Židlochovice</t>
  </si>
  <si>
    <t>Nadrchalová</t>
  </si>
  <si>
    <t>Odkazovací operátory</t>
  </si>
  <si>
    <t>Průnik</t>
  </si>
  <si>
    <t>=SUMA(C3:C5 B4:D4)</t>
  </si>
  <si>
    <t>=SUMA(D9:E12 B10:G11)</t>
  </si>
  <si>
    <t>Sjednocení</t>
  </si>
  <si>
    <t>=SUMA(B17:B19;D17:D19)</t>
  </si>
  <si>
    <t>=SUMA(B23:B26;C23:G23)</t>
  </si>
  <si>
    <t>pozor! buňka nemůže být v obou výběrech!</t>
  </si>
  <si>
    <t>Mocnina, odmocnina</t>
  </si>
  <si>
    <t>=B3^2</t>
  </si>
  <si>
    <t>druhá mocnina</t>
  </si>
  <si>
    <t>PALT + 3 (alfanum)</t>
  </si>
  <si>
    <t>ALT + 94</t>
  </si>
  <si>
    <t>=POWER(B4;4)</t>
  </si>
  <si>
    <t>čtvrtá mocnina</t>
  </si>
  <si>
    <t>=ODMOCNINA(B5)</t>
  </si>
  <si>
    <t>druhá odmocnina</t>
  </si>
  <si>
    <t>=POWER(B6;1/3)</t>
  </si>
  <si>
    <t>třetí odmocnina</t>
  </si>
  <si>
    <t>Textové funkce</t>
  </si>
  <si>
    <t>auto</t>
  </si>
  <si>
    <t>mobil</t>
  </si>
  <si>
    <t>=B3&amp;C3</t>
  </si>
  <si>
    <t>spojí text z buněk</t>
  </si>
  <si>
    <t>=CONCATENATE(B4;C4)</t>
  </si>
  <si>
    <t>spojí text z buněk a vloží mezeru</t>
  </si>
  <si>
    <t>=C5&amp;" "&amp;B5</t>
  </si>
  <si>
    <t>=CONCATENATE(C5;" ";B5)</t>
  </si>
  <si>
    <t>Martinásek Marko Marek Marcipán</t>
  </si>
  <si>
    <t>=ZLEVA(B9;3)</t>
  </si>
  <si>
    <t>Vrátí zadaný počet znaků od počátku textového řetězce</t>
  </si>
  <si>
    <t>=ČÁST(B10;3;2)</t>
  </si>
  <si>
    <t>Vrátí znaky text. řetězce, je-li zadána počáteční pozice a počet znaků</t>
  </si>
  <si>
    <t>Martinásek</t>
  </si>
  <si>
    <t>=CONCATENATE(ČÁST(B11;3;3);ČÁST(B11;8;3))</t>
  </si>
  <si>
    <t>=DÉLKA(B11)</t>
  </si>
  <si>
    <t>Vrátí počet znaků text. řetězce</t>
  </si>
  <si>
    <t>Nahradí existující text novým</t>
  </si>
  <si>
    <t>Novák Jan</t>
  </si>
  <si>
    <t>Syntaxe</t>
  </si>
  <si>
    <t>Kopretinka</t>
  </si>
  <si>
    <t>=HLEDAT("ret";B22;1)</t>
  </si>
  <si>
    <t>Vrátí číslo prvního nalezeného výskytu znaku nebo text. řetězce</t>
  </si>
  <si>
    <t>Směr hledání je zleva doprava</t>
  </si>
  <si>
    <t>Nerozlišuje velká nebo malá písmena</t>
  </si>
  <si>
    <r>
      <t xml:space="preserve">V argumentu </t>
    </r>
    <r>
      <rPr>
        <b/>
        <i/>
        <sz val="11"/>
        <color theme="1"/>
        <rFont val="Calibri"/>
        <family val="2"/>
        <charset val="238"/>
        <scheme val="minor"/>
      </rPr>
      <t>co</t>
    </r>
    <r>
      <rPr>
        <sz val="11"/>
        <color theme="1"/>
        <rFont val="Calibri"/>
        <family val="2"/>
        <charset val="238"/>
        <scheme val="minor"/>
      </rPr>
      <t xml:space="preserve"> lze používat zástupné znaky – otazník (</t>
    </r>
    <r>
      <rPr>
        <b/>
        <sz val="11"/>
        <color theme="1"/>
        <rFont val="Calibri"/>
        <family val="2"/>
        <charset val="238"/>
        <scheme val="minor"/>
      </rPr>
      <t>?</t>
    </r>
    <r>
      <rPr>
        <sz val="11"/>
        <color theme="1"/>
        <rFont val="Calibri"/>
        <family val="2"/>
        <charset val="238"/>
        <scheme val="minor"/>
      </rPr>
      <t>) a hvězdičku (</t>
    </r>
    <r>
      <rPr>
        <b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). 
Otazník zastupuje libovolný jeden znak.
Hvězdička zastupuje libovolný řetězec znaků. 
Chcete-li vyhledat skutečný znak otazníku nebo hvězdičky, zadejte před něj tildu (</t>
    </r>
    <r>
      <rPr>
        <b/>
        <sz val="11"/>
        <color theme="1"/>
        <rFont val="Calibri"/>
        <family val="2"/>
        <charset val="238"/>
        <scheme val="minor"/>
      </rPr>
      <t>~</t>
    </r>
    <r>
      <rPr>
        <sz val="11"/>
        <color theme="1"/>
        <rFont val="Calibri"/>
        <family val="2"/>
        <charset val="238"/>
        <scheme val="minor"/>
      </rPr>
      <t>).</t>
    </r>
  </si>
  <si>
    <t>HLEDAT(co;kde;[start]) resp. SEARCHB(co;kde;[start])</t>
  </si>
  <si>
    <r>
      <t>Co:</t>
    </r>
    <r>
      <rPr>
        <sz val="11"/>
        <color theme="1"/>
        <rFont val="Calibri"/>
        <family val="2"/>
        <charset val="238"/>
        <scheme val="minor"/>
      </rPr>
      <t>    Povinný argument. Jedná se o text, který chcete najít.</t>
    </r>
  </si>
  <si>
    <r>
      <t>Kde:</t>
    </r>
    <r>
      <rPr>
        <sz val="11"/>
        <color theme="1"/>
        <rFont val="Calibri"/>
        <family val="2"/>
        <charset val="238"/>
        <scheme val="minor"/>
      </rPr>
      <t xml:space="preserve">    Povinný argument. Jedná se o text, ve kterém chcete najít hodnotu argumentu </t>
    </r>
    <r>
      <rPr>
        <b/>
        <i/>
        <sz val="11"/>
        <color theme="1"/>
        <rFont val="Calibri"/>
        <family val="2"/>
        <charset val="238"/>
        <scheme val="minor"/>
      </rPr>
      <t>co</t>
    </r>
    <r>
      <rPr>
        <sz val="11"/>
        <color theme="1"/>
        <rFont val="Calibri"/>
        <family val="2"/>
        <charset val="238"/>
        <scheme val="minor"/>
      </rPr>
      <t>.</t>
    </r>
  </si>
  <si>
    <r>
      <t>Start:</t>
    </r>
    <r>
      <rPr>
        <sz val="11"/>
        <color theme="1"/>
        <rFont val="Calibri"/>
        <family val="2"/>
        <charset val="238"/>
        <scheme val="minor"/>
      </rPr>
      <t xml:space="preserve">    Nepovinný argument. Jedná se o číslo znaku v argumentu </t>
    </r>
    <r>
      <rPr>
        <b/>
        <i/>
        <sz val="11"/>
        <color theme="1"/>
        <rFont val="Calibri"/>
        <family val="2"/>
        <charset val="238"/>
        <scheme val="minor"/>
      </rPr>
      <t>kde</t>
    </r>
    <r>
      <rPr>
        <sz val="11"/>
        <color theme="1"/>
        <rFont val="Calibri"/>
        <family val="2"/>
        <charset val="238"/>
        <scheme val="minor"/>
      </rPr>
      <t>, od kterého má hledání začít.</t>
    </r>
  </si>
  <si>
    <t>KopRetinka</t>
  </si>
  <si>
    <t>=NAJÍT("Ret";B31;1)</t>
  </si>
  <si>
    <r>
      <t xml:space="preserve">viz </t>
    </r>
    <r>
      <rPr>
        <b/>
        <sz val="11"/>
        <color theme="1"/>
        <rFont val="Calibri"/>
        <family val="2"/>
        <charset val="238"/>
        <scheme val="minor"/>
      </rPr>
      <t>HLEDAT</t>
    </r>
    <r>
      <rPr>
        <sz val="11"/>
        <color theme="1"/>
        <rFont val="Calibri"/>
        <family val="2"/>
        <charset val="238"/>
        <scheme val="minor"/>
      </rPr>
      <t xml:space="preserve"> - rozlišuje velká a malá písmena</t>
    </r>
  </si>
  <si>
    <t>Jméno, příjmení</t>
  </si>
  <si>
    <t>Příjmení, jméno
funkce</t>
  </si>
  <si>
    <t>Příjmení, jméno
text</t>
  </si>
  <si>
    <t>Rodné číslo</t>
  </si>
  <si>
    <t>měsíc z RČ
funkce (text)</t>
  </si>
  <si>
    <t>měsíc z RČ
číslo</t>
  </si>
  <si>
    <t>Jan Novák</t>
  </si>
  <si>
    <t>991105/4024</t>
  </si>
  <si>
    <t>Eva Stará</t>
  </si>
  <si>
    <t>Stará Eva</t>
  </si>
  <si>
    <t>985812/7254</t>
  </si>
  <si>
    <t>Jiří Zlobivý</t>
  </si>
  <si>
    <t>Zlobivý Jiří</t>
  </si>
  <si>
    <t>980716/4512</t>
  </si>
  <si>
    <t>Anna Hodná</t>
  </si>
  <si>
    <t>Hodná Anna</t>
  </si>
  <si>
    <t>995618/4012</t>
  </si>
  <si>
    <t>Marie Dokonalá</t>
  </si>
  <si>
    <t>Dokonalá Marie</t>
  </si>
  <si>
    <t>986111/4017</t>
  </si>
  <si>
    <t>Jana Pracovitá</t>
  </si>
  <si>
    <t>Pracovitá Jana</t>
  </si>
  <si>
    <t>015212/4024</t>
  </si>
  <si>
    <t>Diana Lenivá</t>
  </si>
  <si>
    <t>Lenivá Diana</t>
  </si>
  <si>
    <t>985530/4117</t>
  </si>
  <si>
    <t>Gustav Hutý</t>
  </si>
  <si>
    <t>Hutý Gustav</t>
  </si>
  <si>
    <t>990925/4111</t>
  </si>
  <si>
    <t>Hana Řídká</t>
  </si>
  <si>
    <t>Řídká Hana</t>
  </si>
  <si>
    <t>006018/5212</t>
  </si>
  <si>
    <t>Iva Malá</t>
  </si>
  <si>
    <t>Malá Iva</t>
  </si>
  <si>
    <t>985811/4025</t>
  </si>
  <si>
    <t>Otto Velký</t>
  </si>
  <si>
    <t>Velký Otto</t>
  </si>
  <si>
    <t>991104/4112</t>
  </si>
  <si>
    <t>Pavel Opatrný</t>
  </si>
  <si>
    <t>Opatrný Pavel</t>
  </si>
  <si>
    <t>011028/3706</t>
  </si>
  <si>
    <t>Rozdělení dat</t>
  </si>
  <si>
    <t>Označit sloupec s daty (jeden), pozor - vlevo musí být volný příslušný počet sloupců</t>
  </si>
  <si>
    <t>Data &gt; Datové nástroje &gt; Text do sloupců</t>
  </si>
  <si>
    <t>ZAOKROUHLOVÁNÍ ČÍSEL</t>
  </si>
  <si>
    <t>FUNKCE</t>
  </si>
  <si>
    <t>Číselná hodnota</t>
  </si>
  <si>
    <t>ZAOKR.DOLŮ</t>
  </si>
  <si>
    <t>=ZAOKROUHLIT(D6;1)</t>
  </si>
  <si>
    <t>ZAOKR.NAHORU</t>
  </si>
  <si>
    <t>=ZAOKR.DOLŮ(D6;100)</t>
  </si>
  <si>
    <t>ZAOKROUHLIT</t>
  </si>
  <si>
    <t>=ZAOKR.NAHORU(D6;10)</t>
  </si>
  <si>
    <t>ZAOKROUHLIT.NA.LICHÉ</t>
  </si>
  <si>
    <t>=ZAOKROUHLIT.NA.LICHÉ(D6)</t>
  </si>
  <si>
    <t>ZAOKROUHLIT.NA.SUDÉ</t>
  </si>
  <si>
    <t>=ZAOKROUHLIT.NA.SUDÉ(D6)</t>
  </si>
  <si>
    <t>ZAOKROUHLIT.NA.TEXT</t>
  </si>
  <si>
    <t>=ZAOKROUHLIT.NA.TEXT(D6;1;PRAVDA)</t>
  </si>
  <si>
    <t>pozor-
text!!</t>
  </si>
  <si>
    <t>převod
na číslo</t>
  </si>
  <si>
    <t>vnořená 
funkce</t>
  </si>
  <si>
    <t>číslo</t>
  </si>
  <si>
    <t>text</t>
  </si>
  <si>
    <t>Eva Malá</t>
  </si>
  <si>
    <t>065512/4024</t>
  </si>
  <si>
    <t>Jan Malý</t>
  </si>
  <si>
    <t>011210/4017</t>
  </si>
  <si>
    <t>Jiří Šikula</t>
  </si>
  <si>
    <t>995125/2565</t>
  </si>
  <si>
    <t>Adam Halouzka</t>
  </si>
  <si>
    <t>980512/5656</t>
  </si>
  <si>
    <t>Jana Dlouhá</t>
  </si>
  <si>
    <t>995202/4547</t>
  </si>
  <si>
    <t>Iva Krátká</t>
  </si>
  <si>
    <t>865823/4011</t>
  </si>
  <si>
    <t>Eva Gricová</t>
  </si>
  <si>
    <t>995212/1212</t>
  </si>
  <si>
    <t>Jan Pásek</t>
  </si>
  <si>
    <t>890412/8787</t>
  </si>
  <si>
    <t>Hana Krutá</t>
  </si>
  <si>
    <t>915611/7854</t>
  </si>
  <si>
    <t>Ivan Hrozný</t>
  </si>
  <si>
    <t>981108/4562</t>
  </si>
  <si>
    <t>Absolutní a relativní odkazy</t>
  </si>
  <si>
    <t xml:space="preserve">1) změny ve vzorcích s relativními odkazy při kopírování (přesouvání) </t>
  </si>
  <si>
    <t xml:space="preserve">2) změny ve vzorcích s absolutními odkazy při kopírování (přesouvání) </t>
  </si>
  <si>
    <t xml:space="preserve">2) změny ve vzorcích s kombinovanými odkazy při kopírování (přesouvání) </t>
  </si>
  <si>
    <t>3) součty - různé argumenty</t>
  </si>
  <si>
    <t>zadej známku</t>
  </si>
  <si>
    <t>Počet jedniček:</t>
  </si>
  <si>
    <t>Počet dvojek:</t>
  </si>
  <si>
    <t>Počet trojek:</t>
  </si>
  <si>
    <t>Počet prázdných:</t>
  </si>
  <si>
    <t>Body celkem</t>
  </si>
  <si>
    <t>Pomocné
kritérium 1</t>
  </si>
  <si>
    <t>Pomocné
kritérium 2</t>
  </si>
  <si>
    <t>Zobrazení karty Vývojář v aplikaci Office</t>
  </si>
  <si>
    <r>
      <rPr>
        <sz val="14"/>
        <color rgb="FF2F2F2F"/>
        <rFont val="Calibri"/>
        <family val="2"/>
        <charset val="238"/>
        <scheme val="minor"/>
      </rPr>
      <t>1. Na kartě </t>
    </r>
    <r>
      <rPr>
        <b/>
        <sz val="14"/>
        <color rgb="FF2F2F2F"/>
        <rFont val="Calibri"/>
        <family val="2"/>
        <charset val="238"/>
        <scheme val="minor"/>
      </rPr>
      <t>soubor</t>
    </r>
    <r>
      <rPr>
        <sz val="14"/>
        <color rgb="FF2F2F2F"/>
        <rFont val="Calibri"/>
        <family val="2"/>
        <charset val="238"/>
        <scheme val="minor"/>
      </rPr>
      <t> přejděte na </t>
    </r>
    <r>
      <rPr>
        <b/>
        <sz val="14"/>
        <color rgb="FF2F2F2F"/>
        <rFont val="Calibri"/>
        <family val="2"/>
        <charset val="238"/>
        <scheme val="minor"/>
      </rPr>
      <t>Možnosti </t>
    </r>
    <r>
      <rPr>
        <sz val="14"/>
        <color rgb="FF2F2F2F"/>
        <rFont val="Calibri"/>
        <family val="2"/>
        <charset val="238"/>
        <scheme val="minor"/>
      </rPr>
      <t>&gt; </t>
    </r>
    <r>
      <rPr>
        <b/>
        <sz val="14"/>
        <color rgb="FF2F2F2F"/>
        <rFont val="Calibri"/>
        <family val="2"/>
        <charset val="238"/>
        <scheme val="minor"/>
      </rPr>
      <t>Přizpůsobit pás karet</t>
    </r>
    <r>
      <rPr>
        <sz val="14"/>
        <color rgb="FF2F2F2F"/>
        <rFont val="Calibri"/>
        <family val="2"/>
        <charset val="238"/>
        <scheme val="minor"/>
      </rPr>
      <t>.</t>
    </r>
  </si>
  <si>
    <r>
      <rPr>
        <sz val="14"/>
        <color rgb="FF2F2F2F"/>
        <rFont val="Calibri"/>
        <family val="2"/>
        <charset val="238"/>
        <scheme val="minor"/>
      </rPr>
      <t>2. V části </t>
    </r>
    <r>
      <rPr>
        <b/>
        <sz val="14"/>
        <color rgb="FF2F2F2F"/>
        <rFont val="Calibri"/>
        <family val="2"/>
        <charset val="238"/>
        <scheme val="minor"/>
      </rPr>
      <t>Přizpůsobit pás karet</t>
    </r>
    <r>
      <rPr>
        <sz val="14"/>
        <color rgb="FF2F2F2F"/>
        <rFont val="Calibri"/>
        <family val="2"/>
        <charset val="238"/>
        <scheme val="minor"/>
      </rPr>
      <t> zaškrtněte v části </t>
    </r>
    <r>
      <rPr>
        <b/>
        <sz val="14"/>
        <color rgb="FF2F2F2F"/>
        <rFont val="Calibri"/>
        <family val="2"/>
        <charset val="238"/>
        <scheme val="minor"/>
      </rPr>
      <t>Hlavní karty</t>
    </r>
    <r>
      <rPr>
        <sz val="14"/>
        <color rgb="FF2F2F2F"/>
        <rFont val="Calibri"/>
        <family val="2"/>
        <charset val="238"/>
        <scheme val="minor"/>
      </rPr>
      <t> políčko </t>
    </r>
    <r>
      <rPr>
        <b/>
        <sz val="14"/>
        <color rgb="FF2F2F2F"/>
        <rFont val="Calibri"/>
        <family val="2"/>
        <charset val="238"/>
        <scheme val="minor"/>
      </rPr>
      <t>Vývojář</t>
    </r>
    <r>
      <rPr>
        <sz val="14"/>
        <color rgb="FF2F2F2F"/>
        <rFont val="Calibri"/>
        <family val="2"/>
        <charset val="238"/>
        <scheme val="minor"/>
      </rPr>
      <t>.</t>
    </r>
  </si>
  <si>
    <t>Pravidlo - vyznačení celého řádku:</t>
  </si>
  <si>
    <t>Označit data v tabulce</t>
  </si>
  <si>
    <t>DOMŮ &gt; STYLY &gt; PODMÍNĚNÉ FORMÁTOVÁNÍ &gt; Nové pravidlo...</t>
  </si>
  <si>
    <t>Určit buňky k formátování pomocí vzorce</t>
  </si>
  <si>
    <t>Formátovat hodnoty, pro které platí tento vzorec ($ u sloupce - nemění se, bez $ u řádku - mění se - kombinovaný odkaz na první buňku ve sloupci)</t>
  </si>
  <si>
    <t>Nastavit formát &gt; potvrdit OK</t>
  </si>
  <si>
    <t>&amp;</t>
  </si>
  <si>
    <t>DÉLKA</t>
  </si>
  <si>
    <t>CONCATENATE</t>
  </si>
  <si>
    <t>DOSADIT</t>
  </si>
  <si>
    <t>ZPRAVA</t>
  </si>
  <si>
    <t>HLEDAT</t>
  </si>
  <si>
    <t>ZLEVA</t>
  </si>
  <si>
    <t>NAJÍT</t>
  </si>
  <si>
    <t>ČÁST</t>
  </si>
  <si>
    <t>VELKÁ</t>
  </si>
  <si>
    <r>
      <t xml:space="preserve">vzorec </t>
    </r>
    <r>
      <rPr>
        <sz val="11"/>
        <color theme="1"/>
        <rFont val="Symbol"/>
        <family val="1"/>
        <charset val="2"/>
      </rPr>
      <t>¯</t>
    </r>
  </si>
  <si>
    <t>vzorec - text</t>
  </si>
  <si>
    <t>=B5&amp;" "&amp;C5</t>
  </si>
  <si>
    <t>=ZPRAVA(B9;4)</t>
  </si>
  <si>
    <t>VELKÁ - převede textový řetězec na velká písmena</t>
  </si>
  <si>
    <t>VELKÁ2 - první písmeno velké, ostatní malá</t>
  </si>
  <si>
    <t>Příklady:</t>
  </si>
  <si>
    <t>nováková</t>
  </si>
  <si>
    <t>Vzorce a funkce - adresace buněk a oblastí</t>
  </si>
  <si>
    <t>Odkazy</t>
  </si>
  <si>
    <t>Řazení II</t>
  </si>
  <si>
    <t>Řady</t>
  </si>
  <si>
    <t>Operátory</t>
  </si>
  <si>
    <t>Mocnina</t>
  </si>
  <si>
    <t>Styl buňky</t>
  </si>
  <si>
    <t>Styl buňky  2</t>
  </si>
  <si>
    <t>Posuvníky (2)</t>
  </si>
  <si>
    <t>Vlastní formát</t>
  </si>
  <si>
    <t>Podmíněné formátování</t>
  </si>
  <si>
    <t>PF2</t>
  </si>
  <si>
    <t>Přesun kopie</t>
  </si>
  <si>
    <t>Příčky</t>
  </si>
  <si>
    <t>Příčky (2)</t>
  </si>
  <si>
    <t>Skrýt-Zobrazit</t>
  </si>
  <si>
    <t>Vložit Jinak (1)</t>
  </si>
  <si>
    <t>Vložit jinak (2)</t>
  </si>
  <si>
    <t>OSVČ_2014</t>
  </si>
  <si>
    <t>leden, únor březen, celkem</t>
  </si>
  <si>
    <t>Datumy</t>
  </si>
  <si>
    <t>Text-funkce</t>
  </si>
  <si>
    <t>Text(2)</t>
  </si>
  <si>
    <t>Logické funkce</t>
  </si>
  <si>
    <t>Podmíněné funkce</t>
  </si>
  <si>
    <t>COUNTIF (2)</t>
  </si>
  <si>
    <t>Když</t>
  </si>
  <si>
    <t>RČ - když</t>
  </si>
  <si>
    <t>Zaokrouhli</t>
  </si>
  <si>
    <t>Graf 1</t>
  </si>
  <si>
    <t>Porovnání</t>
  </si>
  <si>
    <t>Graf 2</t>
  </si>
  <si>
    <t>Graf 3</t>
  </si>
  <si>
    <t>Graf 4</t>
  </si>
  <si>
    <t>Graf 5</t>
  </si>
  <si>
    <t>Ověření</t>
  </si>
  <si>
    <t>Filtrování</t>
  </si>
  <si>
    <t>Databáze</t>
  </si>
  <si>
    <t>Import dat</t>
  </si>
  <si>
    <t>Kontingenční tabulky</t>
  </si>
  <si>
    <t>KT1</t>
  </si>
  <si>
    <t>KT1a</t>
  </si>
  <si>
    <t>KT1c</t>
  </si>
  <si>
    <t>KT2</t>
  </si>
  <si>
    <t>KT2a</t>
  </si>
  <si>
    <t>KT3</t>
  </si>
  <si>
    <t>KT3a</t>
  </si>
  <si>
    <t>KT4</t>
  </si>
  <si>
    <t>Číselné řady, absolutní odkaz</t>
  </si>
  <si>
    <t>Řazení podle vlastního seznamu, odebrání duplicit</t>
  </si>
  <si>
    <t>Řady, dynamické vyplňování</t>
  </si>
  <si>
    <t>Průnik, sjednocení</t>
  </si>
  <si>
    <t>Styl tabulky</t>
  </si>
  <si>
    <t>Př.: použijte na tabulku - sloupec Vzdělánín styl špatně</t>
  </si>
  <si>
    <t>Využití karty Vývojář</t>
  </si>
  <si>
    <t>Různé formáty data</t>
  </si>
  <si>
    <t>použití vlastního formátu</t>
  </si>
  <si>
    <t>Podmíněné formáty podle obsahu buněk</t>
  </si>
  <si>
    <t>Podmíněný formát - vyznačení celého řádku</t>
  </si>
  <si>
    <t>Příčky neukotvené</t>
  </si>
  <si>
    <t>Příčky ukotvené</t>
  </si>
  <si>
    <t>Skrýt/Zobrazit řádek/sloupec</t>
  </si>
  <si>
    <t>Vložit jinak s matematickou operací</t>
  </si>
  <si>
    <t>Vložit jinak, transpnovat</t>
  </si>
  <si>
    <t xml:space="preserve">Přibližný věk </t>
  </si>
  <si>
    <t>Používání 3D adresy v agregačních funkcích</t>
  </si>
  <si>
    <t>Datové funkce - skupina Datum a čas</t>
  </si>
  <si>
    <t>Využití textových funkcí</t>
  </si>
  <si>
    <t>Funkce A a funkce NEBO</t>
  </si>
  <si>
    <t>Určení pohlaví z rodného čísla</t>
  </si>
  <si>
    <t>Zaokrouhlování hodnot</t>
  </si>
  <si>
    <t>Základní využití finančních funkcí (BUDHODNOTA, PLATBA, SOUČHODNOTA)</t>
  </si>
  <si>
    <t>Vyhledávací funkce</t>
  </si>
  <si>
    <t>Základní vyhledávací funkce, užití</t>
  </si>
  <si>
    <t>Vnoření funkce pomocí průvodce</t>
  </si>
  <si>
    <t>Kontrola vzorců, komentáře</t>
  </si>
  <si>
    <t>Jednoduchý graf</t>
  </si>
  <si>
    <t>Složitější graf, interaktivní</t>
  </si>
  <si>
    <t>Manipulace s grafem, přidávání objektů, formátování objektů grafu</t>
  </si>
  <si>
    <t>Přidání datové řady, úpravy grafu</t>
  </si>
  <si>
    <t>Vedlejší osa hodnot, kombinovaný graf</t>
  </si>
  <si>
    <t>Graf s grafickými objekty</t>
  </si>
  <si>
    <t>Nejdůležitější činnosti se seznamy</t>
  </si>
  <si>
    <t>Ověřování dat</t>
  </si>
  <si>
    <t>Řazení podle vlastního seznamu, odebrání duplicit, víceúrovňové řazení</t>
  </si>
  <si>
    <t>Filtrování seznamu podle více kritérií, rozšířený filtr</t>
  </si>
  <si>
    <t>Základní databázové funkce</t>
  </si>
  <si>
    <t>Seskupení sloupců, oddělení skupiny</t>
  </si>
  <si>
    <t>Vytvoření a odebrání souhrnu</t>
  </si>
  <si>
    <t>Import dat z textového souboru, csv souboru</t>
  </si>
  <si>
    <t>Vytvoření a editace kontingenční tabulky</t>
  </si>
  <si>
    <t>Obsah</t>
  </si>
  <si>
    <t>test 9. 5. 2019</t>
  </si>
  <si>
    <t>Soubor: seznam_zaku_skoly.xlsx</t>
  </si>
  <si>
    <t>Plast</t>
  </si>
  <si>
    <t>Barevné
kovy</t>
  </si>
  <si>
    <t>Železo</t>
  </si>
  <si>
    <t>Papír</t>
  </si>
  <si>
    <t>Ostatní</t>
  </si>
  <si>
    <t>Žák</t>
  </si>
  <si>
    <t>Střední školy</t>
  </si>
  <si>
    <t>Gymnázium</t>
  </si>
  <si>
    <t>Základní školy</t>
  </si>
  <si>
    <t>Řehoř</t>
  </si>
  <si>
    <t>Slámová</t>
  </si>
  <si>
    <t>Trojanová</t>
  </si>
  <si>
    <t>Havel</t>
  </si>
  <si>
    <t>Martínek</t>
  </si>
  <si>
    <t>Vágnerová</t>
  </si>
  <si>
    <t>Trmač</t>
  </si>
  <si>
    <t>Dobiáš</t>
  </si>
  <si>
    <t>Barevné kovy</t>
  </si>
  <si>
    <t>ZP</t>
  </si>
  <si>
    <r>
      <rPr>
        <b/>
        <sz val="11"/>
        <color theme="1"/>
        <rFont val="Calibri"/>
        <family val="2"/>
        <charset val="238"/>
        <scheme val="minor"/>
      </rPr>
      <t>Úkol:</t>
    </r>
    <r>
      <rPr>
        <sz val="11"/>
        <color theme="1"/>
        <rFont val="Calibri"/>
        <family val="2"/>
        <charset val="238"/>
        <scheme val="minor"/>
      </rPr>
      <t xml:space="preserve"> Ověřte, zda položka Zpoj. (zdravotní pojišťovna) obsahuje pouze údaje ze sloupce K (101, 110, 111, 201, 211 a 311) a 
ve sloupci D (Město) jsou poze města uvedená ve sloupci J a výška a váha odpovídá reálným hodnotám. Chybné hodnoty zakroužkujte.</t>
    </r>
  </si>
  <si>
    <r>
      <t xml:space="preserve">Úkol: Vyfiltrujte záznamy, které mají v poli </t>
    </r>
    <r>
      <rPr>
        <b/>
        <sz val="11"/>
        <color theme="1"/>
        <rFont val="Calibri"/>
        <family val="2"/>
        <charset val="238"/>
        <scheme val="minor"/>
      </rPr>
      <t>Město</t>
    </r>
    <r>
      <rPr>
        <sz val="11"/>
        <color theme="1"/>
        <rFont val="Calibri"/>
        <family val="2"/>
        <charset val="238"/>
        <scheme val="minor"/>
      </rPr>
      <t xml:space="preserve"> hodnotu Brno a zároveň v poli </t>
    </r>
    <r>
      <rPr>
        <b/>
        <sz val="11"/>
        <color theme="1"/>
        <rFont val="Calibri"/>
        <family val="2"/>
        <charset val="238"/>
        <scheme val="minor"/>
      </rPr>
      <t xml:space="preserve">Výška </t>
    </r>
    <r>
      <rPr>
        <sz val="11"/>
        <color theme="1"/>
        <rFont val="Calibri"/>
        <family val="2"/>
        <charset val="238"/>
        <scheme val="minor"/>
      </rPr>
      <t xml:space="preserve">hodnotu vyšší než 168 a dále záznamy , které mají v poli </t>
    </r>
    <r>
      <rPr>
        <b/>
        <sz val="11"/>
        <color theme="1"/>
        <rFont val="Calibri"/>
        <family val="2"/>
        <charset val="238"/>
        <scheme val="minor"/>
      </rPr>
      <t xml:space="preserve"> Město </t>
    </r>
    <r>
      <rPr>
        <sz val="11"/>
        <color theme="1"/>
        <rFont val="Calibri"/>
        <family val="2"/>
        <charset val="238"/>
        <scheme val="minor"/>
      </rPr>
      <t xml:space="preserve">hodnotu </t>
    </r>
    <r>
      <rPr>
        <b/>
        <sz val="11"/>
        <color theme="1"/>
        <rFont val="Calibri"/>
        <family val="2"/>
        <charset val="238"/>
        <scheme val="minor"/>
      </rPr>
      <t xml:space="preserve">Plzeň </t>
    </r>
    <r>
      <rPr>
        <sz val="11"/>
        <color theme="1"/>
        <rFont val="Calibri"/>
        <family val="2"/>
        <charset val="238"/>
        <scheme val="minor"/>
      </rPr>
      <t xml:space="preserve">a zároveň v poli </t>
    </r>
    <r>
      <rPr>
        <b/>
        <sz val="11"/>
        <color theme="1"/>
        <rFont val="Calibri"/>
        <family val="2"/>
        <charset val="238"/>
        <scheme val="minor"/>
      </rPr>
      <t>Váha</t>
    </r>
    <r>
      <rPr>
        <sz val="11"/>
        <color theme="1"/>
        <rFont val="Calibri"/>
        <family val="2"/>
        <charset val="238"/>
        <scheme val="minor"/>
      </rPr>
      <t xml:space="preserve"> hodnotu vyšší než 65 a menší než 80 a dále záznamy které mají v poli </t>
    </r>
    <r>
      <rPr>
        <b/>
        <sz val="11"/>
        <color theme="1"/>
        <rFont val="Calibri"/>
        <family val="2"/>
        <charset val="238"/>
        <scheme val="minor"/>
      </rPr>
      <t xml:space="preserve">M </t>
    </r>
    <r>
      <rPr>
        <sz val="11"/>
        <color theme="1"/>
        <rFont val="Calibri"/>
        <family val="2"/>
        <charset val="238"/>
        <scheme val="minor"/>
      </rPr>
      <t xml:space="preserve">(pohlaví) hodnotu 0 a v poli </t>
    </r>
    <r>
      <rPr>
        <b/>
        <sz val="11"/>
        <color theme="1"/>
        <rFont val="Calibri"/>
        <family val="2"/>
        <charset val="238"/>
        <scheme val="minor"/>
      </rPr>
      <t xml:space="preserve">Město </t>
    </r>
    <r>
      <rPr>
        <sz val="11"/>
        <color theme="1"/>
        <rFont val="Calibri"/>
        <family val="2"/>
        <charset val="238"/>
        <scheme val="minor"/>
      </rPr>
      <t xml:space="preserve"> hodnotu Boskovice. Podmínky filtrace definujte pod tabulkou (řádek 133 a další) a vyfiltrované hodnoty uložte do stejného listu na konec. Kolik řádků obsahuje vyfiltrovaná tabulka? Hodnotu napiš pod tuto tabulku.</t>
    </r>
  </si>
  <si>
    <t>Průměrná váha mužů z Ostravy:</t>
  </si>
  <si>
    <t>Váha nejlehčí ženy z Boskovic:</t>
  </si>
  <si>
    <t>Dar</t>
  </si>
  <si>
    <r>
      <t xml:space="preserve">Úkol: V tabulce potřebujeme zobrazit </t>
    </r>
    <r>
      <rPr>
        <b/>
        <sz val="11"/>
        <color theme="1"/>
        <rFont val="Calibri"/>
        <family val="2"/>
        <charset val="238"/>
        <scheme val="minor"/>
      </rPr>
      <t>průměrnou výšku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theme="1"/>
        <rFont val="Calibri"/>
        <family val="2"/>
        <charset val="238"/>
        <scheme val="minor"/>
      </rPr>
      <t>průměrnou váhu</t>
    </r>
    <r>
      <rPr>
        <sz val="11"/>
        <color theme="1"/>
        <rFont val="Calibri"/>
        <family val="2"/>
        <charset val="238"/>
        <scheme val="minor"/>
      </rPr>
      <t xml:space="preserve"> osob z jednotlivých měst. Dále potřebujeme zobrazit celkovou </t>
    </r>
    <r>
      <rPr>
        <b/>
        <sz val="11"/>
        <color theme="1"/>
        <rFont val="Calibri"/>
        <family val="2"/>
        <charset val="238"/>
        <scheme val="minor"/>
      </rPr>
      <t xml:space="preserve">darovanou částku </t>
    </r>
    <r>
      <rPr>
        <sz val="11"/>
        <color theme="1"/>
        <rFont val="Calibri"/>
        <family val="2"/>
        <charset val="238"/>
        <scheme val="minor"/>
      </rPr>
      <t>(sloupec J - Dar) - opět podle měst</t>
    </r>
    <r>
      <rPr>
        <b/>
        <sz val="11"/>
        <color theme="1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/>
    </r>
  </si>
  <si>
    <t>PVZ</t>
  </si>
  <si>
    <t>P</t>
  </si>
  <si>
    <t>N</t>
  </si>
  <si>
    <t>havel@gmail.com</t>
  </si>
  <si>
    <t>mala@yahoo.com</t>
  </si>
  <si>
    <t>Gabrielová</t>
  </si>
  <si>
    <t>gabi@email.cz</t>
  </si>
  <si>
    <t>Rolná</t>
  </si>
  <si>
    <t>evik@gmail.com</t>
  </si>
  <si>
    <t>Visinger</t>
  </si>
  <si>
    <t>visinger@tiscali.cz</t>
  </si>
  <si>
    <t>Gruber</t>
  </si>
  <si>
    <t>gruber@snaper.com</t>
  </si>
  <si>
    <t>Jméno a příjmení</t>
  </si>
  <si>
    <t>Uživatelé</t>
  </si>
  <si>
    <t>Muži</t>
  </si>
  <si>
    <t>Ženy</t>
  </si>
  <si>
    <t>Prospěch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</si>
</sst>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8" formatCode="#,##0.00\ &quot;Kč&quot;;[Red]\-#,##0.00\ &quot;Kč&quot;"/>
    <numFmt numFmtId="164" formatCode="#,##0.0"/>
    <numFmt numFmtId="165" formatCode="d"/>
    <numFmt numFmtId="166" formatCode="dd"/>
    <numFmt numFmtId="167" formatCode="ddd"/>
    <numFmt numFmtId="168" formatCode="dddd"/>
    <numFmt numFmtId="169" formatCode="m"/>
    <numFmt numFmtId="170" formatCode="mm"/>
    <numFmt numFmtId="171" formatCode="mmm"/>
    <numFmt numFmtId="172" formatCode="mmmm"/>
    <numFmt numFmtId="173" formatCode="yy"/>
    <numFmt numFmtId="174" formatCode="yyyy"/>
    <numFmt numFmtId="175" formatCode="d/\ mmmm\ yyyy"/>
    <numFmt numFmtId="176" formatCode="d/m/yyyy;@"/>
    <numFmt numFmtId="177" formatCode="&quot;datum: &quot;d/\ mm/\ yyyy"/>
    <numFmt numFmtId="178" formatCode="#,##0.0000"/>
    <numFmt numFmtId="179" formatCode="d/\ mm/\ yyyy"/>
    <numFmt numFmtId="180" formatCode="0.0"/>
    <numFmt numFmtId="181" formatCode="d/m/yy;@"/>
    <numFmt numFmtId="182" formatCode="dd/\ mm/\ yyyy"/>
    <numFmt numFmtId="183" formatCode="#,##0.00&quot; ks&quot;"/>
    <numFmt numFmtId="184" formatCode="000,000,00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4"/>
      <color rgb="FFC7254E"/>
      <name val="Courier New"/>
      <family val="3"/>
      <charset val="238"/>
    </font>
    <font>
      <b/>
      <sz val="14"/>
      <color rgb="FFFF0000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33"/>
      <color rgb="FF2F2F2F"/>
      <name val="Segoe UI Light"/>
      <family val="2"/>
      <charset val="238"/>
    </font>
    <font>
      <sz val="14"/>
      <color rgb="FF2F2F2F"/>
      <name val="Calibri"/>
      <family val="2"/>
      <charset val="238"/>
      <scheme val="minor"/>
    </font>
    <font>
      <b/>
      <sz val="14"/>
      <color rgb="FF2F2F2F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sz val="11"/>
      <color rgb="FF9C0006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9"/>
        <bgColor theme="9"/>
      </patternFill>
    </fill>
    <fill>
      <patternFill patternType="solid">
        <fgColor rgb="FF7030A0"/>
        <bgColor theme="9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theme="7"/>
      </patternFill>
    </fill>
    <fill>
      <patternFill patternType="solid">
        <fgColor rgb="FF00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3300"/>
        <bgColor rgb="FF003300"/>
      </patternFill>
    </fill>
    <fill>
      <patternFill patternType="solid">
        <fgColor rgb="FF92D050"/>
        <bgColor indexed="64"/>
      </patternFill>
    </fill>
  </fills>
  <borders count="74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/>
      <right/>
      <top style="thin">
        <color theme="0"/>
      </top>
      <bottom style="thin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>
      <alignment vertical="top"/>
    </xf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21" fillId="0" borderId="0"/>
    <xf numFmtId="0" fontId="23" fillId="0" borderId="0" applyNumberFormat="0" applyFill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</cellStyleXfs>
  <cellXfs count="302">
    <xf numFmtId="0" fontId="0" fillId="0" borderId="0" xfId="0"/>
    <xf numFmtId="0" fontId="3" fillId="3" borderId="0" xfId="0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164" fontId="0" fillId="0" borderId="0" xfId="0" applyNumberFormat="1" applyBorder="1" applyAlignment="1">
      <alignment vertical="top"/>
    </xf>
    <xf numFmtId="165" fontId="0" fillId="0" borderId="0" xfId="0" applyNumberFormat="1" applyBorder="1" applyAlignment="1">
      <alignment vertical="top"/>
    </xf>
    <xf numFmtId="166" fontId="0" fillId="0" borderId="0" xfId="0" applyNumberFormat="1" applyBorder="1" applyAlignment="1">
      <alignment vertical="top"/>
    </xf>
    <xf numFmtId="167" fontId="0" fillId="0" borderId="0" xfId="0" applyNumberFormat="1" applyBorder="1" applyAlignment="1">
      <alignment vertical="top"/>
    </xf>
    <xf numFmtId="168" fontId="0" fillId="0" borderId="0" xfId="0" applyNumberFormat="1" applyBorder="1" applyAlignment="1">
      <alignment vertical="top"/>
    </xf>
    <xf numFmtId="169" fontId="0" fillId="0" borderId="0" xfId="0" applyNumberFormat="1" applyBorder="1" applyAlignment="1">
      <alignment vertical="top"/>
    </xf>
    <xf numFmtId="170" fontId="0" fillId="0" borderId="0" xfId="0" applyNumberFormat="1" applyBorder="1" applyAlignment="1">
      <alignment vertical="top"/>
    </xf>
    <xf numFmtId="171" fontId="0" fillId="0" borderId="0" xfId="0" applyNumberFormat="1" applyBorder="1" applyAlignment="1">
      <alignment vertical="top"/>
    </xf>
    <xf numFmtId="172" fontId="0" fillId="0" borderId="0" xfId="0" applyNumberFormat="1" applyBorder="1" applyAlignment="1">
      <alignment vertical="top"/>
    </xf>
    <xf numFmtId="173" fontId="0" fillId="0" borderId="0" xfId="0" applyNumberFormat="1" applyBorder="1" applyAlignment="1">
      <alignment vertical="top"/>
    </xf>
    <xf numFmtId="174" fontId="0" fillId="0" borderId="0" xfId="0" applyNumberFormat="1" applyBorder="1" applyAlignment="1">
      <alignment vertical="top"/>
    </xf>
    <xf numFmtId="175" fontId="0" fillId="0" borderId="0" xfId="0" applyNumberFormat="1" applyBorder="1" applyAlignment="1">
      <alignment vertical="top"/>
    </xf>
    <xf numFmtId="176" fontId="0" fillId="0" borderId="0" xfId="0" applyNumberFormat="1" applyBorder="1" applyAlignment="1">
      <alignment vertical="top"/>
    </xf>
    <xf numFmtId="177" fontId="0" fillId="0" borderId="0" xfId="0" applyNumberFormat="1" applyBorder="1" applyAlignment="1">
      <alignment vertical="top"/>
    </xf>
    <xf numFmtId="0" fontId="0" fillId="2" borderId="1" xfId="0" applyFill="1" applyBorder="1"/>
    <xf numFmtId="0" fontId="0" fillId="4" borderId="1" xfId="0" applyFill="1" applyBorder="1"/>
    <xf numFmtId="2" fontId="0" fillId="0" borderId="1" xfId="0" applyNumberFormat="1" applyBorder="1"/>
    <xf numFmtId="0" fontId="0" fillId="0" borderId="1" xfId="0" applyBorder="1"/>
    <xf numFmtId="0" fontId="2" fillId="2" borderId="0" xfId="1" applyFont="1" applyFill="1">
      <alignment vertical="top"/>
    </xf>
    <xf numFmtId="0" fontId="2" fillId="2" borderId="0" xfId="1" applyFont="1" applyFill="1" applyAlignment="1">
      <alignment horizontal="right"/>
    </xf>
    <xf numFmtId="0" fontId="1" fillId="0" borderId="0" xfId="1">
      <alignment vertical="top"/>
    </xf>
    <xf numFmtId="14" fontId="1" fillId="0" borderId="0" xfId="1" applyNumberFormat="1">
      <alignment vertical="top"/>
    </xf>
    <xf numFmtId="0" fontId="1" fillId="0" borderId="0" xfId="1" applyNumberFormat="1">
      <alignment vertical="top"/>
    </xf>
    <xf numFmtId="0" fontId="1" fillId="0" borderId="0" xfId="1" applyBorder="1">
      <alignment vertical="top"/>
    </xf>
    <xf numFmtId="14" fontId="0" fillId="0" borderId="0" xfId="0" applyNumberFormat="1"/>
    <xf numFmtId="22" fontId="0" fillId="0" borderId="0" xfId="0" applyNumberFormat="1"/>
    <xf numFmtId="173" fontId="0" fillId="0" borderId="0" xfId="0" applyNumberFormat="1"/>
    <xf numFmtId="176" fontId="0" fillId="0" borderId="0" xfId="0" applyNumberFormat="1"/>
    <xf numFmtId="21" fontId="0" fillId="0" borderId="0" xfId="0" applyNumberFormat="1"/>
    <xf numFmtId="0" fontId="6" fillId="0" borderId="0" xfId="0" applyFont="1"/>
    <xf numFmtId="0" fontId="2" fillId="0" borderId="0" xfId="0" applyFont="1"/>
    <xf numFmtId="9" fontId="0" fillId="0" borderId="1" xfId="0" applyNumberFormat="1" applyBorder="1"/>
    <xf numFmtId="8" fontId="0" fillId="7" borderId="1" xfId="0" applyNumberFormat="1" applyFill="1" applyBorder="1"/>
    <xf numFmtId="0" fontId="2" fillId="2" borderId="1" xfId="0" applyFont="1" applyFill="1" applyBorder="1"/>
    <xf numFmtId="0" fontId="7" fillId="0" borderId="0" xfId="0" applyFont="1"/>
    <xf numFmtId="0" fontId="0" fillId="7" borderId="0" xfId="0" applyFill="1"/>
    <xf numFmtId="0" fontId="0" fillId="7" borderId="1" xfId="0" applyFill="1" applyBorder="1"/>
    <xf numFmtId="0" fontId="5" fillId="8" borderId="2" xfId="0" applyFont="1" applyFill="1" applyBorder="1"/>
    <xf numFmtId="0" fontId="5" fillId="9" borderId="1" xfId="0" applyFont="1" applyFill="1" applyBorder="1"/>
    <xf numFmtId="0" fontId="2" fillId="0" borderId="1" xfId="0" applyFont="1" applyBorder="1"/>
    <xf numFmtId="179" fontId="0" fillId="0" borderId="1" xfId="0" applyNumberFormat="1" applyBorder="1"/>
    <xf numFmtId="0" fontId="5" fillId="1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2" applyFont="1" applyFill="1" applyBorder="1"/>
    <xf numFmtId="0" fontId="8" fillId="0" borderId="1" xfId="3" applyFont="1" applyFill="1" applyBorder="1"/>
    <xf numFmtId="1" fontId="0" fillId="0" borderId="1" xfId="0" applyNumberForma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2" fillId="2" borderId="0" xfId="0" applyFont="1" applyFill="1"/>
    <xf numFmtId="0" fontId="2" fillId="2" borderId="2" xfId="0" applyFont="1" applyFill="1" applyBorder="1"/>
    <xf numFmtId="0" fontId="2" fillId="2" borderId="2" xfId="0" applyFont="1" applyFill="1" applyBorder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Border="1" applyAlignment="1">
      <alignment vertical="top"/>
    </xf>
    <xf numFmtId="0" fontId="0" fillId="0" borderId="8" xfId="0" applyBorder="1"/>
    <xf numFmtId="0" fontId="2" fillId="2" borderId="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2" fontId="0" fillId="0" borderId="0" xfId="0" applyNumberFormat="1" applyBorder="1" applyAlignment="1">
      <alignment horizontal="right" vertical="center"/>
    </xf>
    <xf numFmtId="2" fontId="0" fillId="0" borderId="16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2" fontId="0" fillId="0" borderId="17" xfId="0" applyNumberFormat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0" fillId="15" borderId="0" xfId="0" applyFill="1" applyBorder="1"/>
    <xf numFmtId="0" fontId="2" fillId="4" borderId="1" xfId="0" applyFont="1" applyFill="1" applyBorder="1"/>
    <xf numFmtId="0" fontId="0" fillId="16" borderId="18" xfId="0" applyFill="1" applyBorder="1" applyProtection="1">
      <protection locked="0"/>
    </xf>
    <xf numFmtId="0" fontId="0" fillId="16" borderId="18" xfId="0" applyFill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16" borderId="18" xfId="0" applyFill="1" applyBorder="1" applyAlignment="1" applyProtection="1">
      <alignment vertical="center"/>
      <protection locked="0"/>
    </xf>
    <xf numFmtId="0" fontId="0" fillId="16" borderId="18" xfId="0" applyFill="1" applyBorder="1" applyAlignment="1">
      <alignment vertical="center"/>
    </xf>
    <xf numFmtId="0" fontId="0" fillId="16" borderId="18" xfId="0" applyFill="1" applyBorder="1" applyAlignment="1">
      <alignment vertical="center" wrapText="1"/>
    </xf>
    <xf numFmtId="0" fontId="5" fillId="17" borderId="1" xfId="0" applyFont="1" applyFill="1" applyBorder="1"/>
    <xf numFmtId="2" fontId="0" fillId="18" borderId="1" xfId="0" applyNumberFormat="1" applyFill="1" applyBorder="1"/>
    <xf numFmtId="0" fontId="11" fillId="11" borderId="3" xfId="0" applyFont="1" applyFill="1" applyBorder="1" applyAlignment="1">
      <alignment horizontal="right" vertical="center" wrapText="1"/>
    </xf>
    <xf numFmtId="0" fontId="11" fillId="11" borderId="4" xfId="0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right" vertical="center" wrapText="1"/>
    </xf>
    <xf numFmtId="0" fontId="11" fillId="11" borderId="5" xfId="0" applyFont="1" applyFill="1" applyBorder="1" applyAlignment="1">
      <alignment horizontal="right" vertical="center" wrapText="1"/>
    </xf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19" xfId="0" applyFont="1" applyBorder="1"/>
    <xf numFmtId="0" fontId="0" fillId="0" borderId="20" xfId="0" applyFont="1" applyBorder="1"/>
    <xf numFmtId="0" fontId="0" fillId="0" borderId="21" xfId="0" applyFont="1" applyBorder="1"/>
    <xf numFmtId="0" fontId="11" fillId="11" borderId="22" xfId="0" applyFont="1" applyFill="1" applyBorder="1" applyAlignment="1">
      <alignment horizontal="center" vertical="top" wrapText="1"/>
    </xf>
    <xf numFmtId="0" fontId="11" fillId="11" borderId="24" xfId="0" applyFont="1" applyFill="1" applyBorder="1" applyAlignment="1">
      <alignment horizontal="center" vertical="top" wrapText="1"/>
    </xf>
    <xf numFmtId="0" fontId="11" fillId="11" borderId="23" xfId="0" applyFont="1" applyFill="1" applyBorder="1" applyAlignment="1">
      <alignment horizontal="center" vertical="top" wrapText="1"/>
    </xf>
    <xf numFmtId="3" fontId="0" fillId="0" borderId="0" xfId="0" applyNumberFormat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2" borderId="0" xfId="0" applyFill="1"/>
    <xf numFmtId="14" fontId="0" fillId="0" borderId="1" xfId="0" applyNumberFormat="1" applyBorder="1"/>
    <xf numFmtId="0" fontId="0" fillId="0" borderId="0" xfId="0" quotePrefix="1"/>
    <xf numFmtId="0" fontId="0" fillId="15" borderId="0" xfId="0" quotePrefix="1" applyFont="1" applyFill="1" applyBorder="1"/>
    <xf numFmtId="178" fontId="0" fillId="0" borderId="1" xfId="0" applyNumberFormat="1" applyBorder="1"/>
    <xf numFmtId="0" fontId="18" fillId="0" borderId="0" xfId="0" applyFont="1"/>
    <xf numFmtId="0" fontId="0" fillId="2" borderId="2" xfId="0" applyFill="1" applyBorder="1"/>
    <xf numFmtId="2" fontId="0" fillId="18" borderId="1" xfId="0" applyNumberFormat="1" applyFill="1" applyBorder="1" applyAlignment="1">
      <alignment horizontal="center" vertical="center"/>
    </xf>
    <xf numFmtId="0" fontId="19" fillId="0" borderId="0" xfId="0" applyFont="1"/>
    <xf numFmtId="0" fontId="0" fillId="0" borderId="33" xfId="0" applyBorder="1"/>
    <xf numFmtId="0" fontId="0" fillId="0" borderId="34" xfId="0" applyBorder="1"/>
    <xf numFmtId="2" fontId="0" fillId="0" borderId="35" xfId="0" applyNumberFormat="1" applyBorder="1"/>
    <xf numFmtId="0" fontId="0" fillId="0" borderId="36" xfId="0" applyBorder="1"/>
    <xf numFmtId="0" fontId="0" fillId="0" borderId="37" xfId="0" applyBorder="1"/>
    <xf numFmtId="2" fontId="0" fillId="0" borderId="38" xfId="0" applyNumberFormat="1" applyBorder="1"/>
    <xf numFmtId="0" fontId="0" fillId="0" borderId="39" xfId="0" applyBorder="1"/>
    <xf numFmtId="0" fontId="0" fillId="0" borderId="40" xfId="0" applyBorder="1"/>
    <xf numFmtId="2" fontId="0" fillId="0" borderId="30" xfId="0" applyNumberFormat="1" applyBorder="1"/>
    <xf numFmtId="3" fontId="0" fillId="0" borderId="7" xfId="1" applyNumberFormat="1" applyFont="1" applyBorder="1">
      <alignment vertical="top"/>
    </xf>
    <xf numFmtId="0" fontId="11" fillId="19" borderId="7" xfId="1" applyFont="1" applyFill="1" applyBorder="1">
      <alignment vertical="top"/>
    </xf>
    <xf numFmtId="3" fontId="0" fillId="0" borderId="0" xfId="1" applyNumberFormat="1" applyFont="1">
      <alignment vertical="top"/>
    </xf>
    <xf numFmtId="0" fontId="11" fillId="19" borderId="0" xfId="1" applyFont="1" applyFill="1">
      <alignment vertical="top"/>
    </xf>
    <xf numFmtId="3" fontId="0" fillId="0" borderId="6" xfId="1" applyNumberFormat="1" applyFont="1" applyBorder="1">
      <alignment vertical="top"/>
    </xf>
    <xf numFmtId="0" fontId="11" fillId="19" borderId="6" xfId="1" applyFont="1" applyFill="1" applyBorder="1">
      <alignment vertical="top"/>
    </xf>
    <xf numFmtId="0" fontId="11" fillId="19" borderId="6" xfId="1" applyFont="1" applyFill="1" applyBorder="1" applyAlignment="1">
      <alignment horizontal="right" vertical="top"/>
    </xf>
    <xf numFmtId="0" fontId="2" fillId="0" borderId="0" xfId="1" applyFont="1">
      <alignment vertical="top"/>
    </xf>
    <xf numFmtId="3" fontId="0" fillId="14" borderId="7" xfId="1" applyNumberFormat="1" applyFont="1" applyFill="1" applyBorder="1">
      <alignment vertical="top"/>
    </xf>
    <xf numFmtId="0" fontId="11" fillId="13" borderId="7" xfId="1" applyFont="1" applyFill="1" applyBorder="1">
      <alignment vertical="top"/>
    </xf>
    <xf numFmtId="0" fontId="11" fillId="12" borderId="0" xfId="1" applyFont="1" applyFill="1">
      <alignment vertical="top"/>
    </xf>
    <xf numFmtId="0" fontId="11" fillId="12" borderId="6" xfId="1" applyFont="1" applyFill="1" applyBorder="1">
      <alignment vertical="top"/>
    </xf>
    <xf numFmtId="0" fontId="12" fillId="0" borderId="0" xfId="1" applyFont="1" applyFill="1" applyBorder="1" applyAlignment="1">
      <alignment horizontal="right" vertical="top"/>
    </xf>
    <xf numFmtId="0" fontId="11" fillId="12" borderId="6" xfId="1" applyFont="1" applyFill="1" applyBorder="1" applyAlignment="1">
      <alignment horizontal="right" vertical="top"/>
    </xf>
    <xf numFmtId="0" fontId="0" fillId="0" borderId="0" xfId="0" applyFill="1"/>
    <xf numFmtId="0" fontId="0" fillId="21" borderId="8" xfId="0" applyFill="1" applyBorder="1"/>
    <xf numFmtId="0" fontId="0" fillId="21" borderId="31" xfId="0" applyFill="1" applyBorder="1"/>
    <xf numFmtId="0" fontId="0" fillId="21" borderId="32" xfId="0" applyFill="1" applyBorder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righ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/>
    <xf numFmtId="0" fontId="0" fillId="0" borderId="1" xfId="0" applyBorder="1" applyAlignment="1">
      <alignment horizontal="right"/>
    </xf>
    <xf numFmtId="0" fontId="11" fillId="10" borderId="2" xfId="0" applyFont="1" applyFill="1" applyBorder="1" applyAlignment="1">
      <alignment vertical="center"/>
    </xf>
    <xf numFmtId="180" fontId="0" fillId="0" borderId="0" xfId="0" applyNumberFormat="1"/>
    <xf numFmtId="0" fontId="2" fillId="22" borderId="1" xfId="0" applyFont="1" applyFill="1" applyBorder="1"/>
    <xf numFmtId="0" fontId="0" fillId="23" borderId="0" xfId="0" applyFill="1"/>
    <xf numFmtId="0" fontId="0" fillId="24" borderId="0" xfId="0" applyFill="1"/>
    <xf numFmtId="0" fontId="0" fillId="4" borderId="0" xfId="0" applyFill="1"/>
    <xf numFmtId="181" fontId="0" fillId="0" borderId="0" xfId="0" applyNumberFormat="1" applyBorder="1" applyAlignment="1">
      <alignment vertical="top"/>
    </xf>
    <xf numFmtId="2" fontId="0" fillId="0" borderId="10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2" fontId="0" fillId="0" borderId="0" xfId="0" applyNumberFormat="1" applyFill="1" applyBorder="1"/>
    <xf numFmtId="14" fontId="1" fillId="0" borderId="0" xfId="1" applyNumberFormat="1" applyBorder="1">
      <alignment vertical="top"/>
    </xf>
    <xf numFmtId="0" fontId="1" fillId="0" borderId="0" xfId="1" applyNumberFormat="1" applyBorder="1">
      <alignment vertical="top"/>
    </xf>
    <xf numFmtId="0" fontId="0" fillId="0" borderId="0" xfId="0" applyNumberFormat="1"/>
    <xf numFmtId="2" fontId="1" fillId="0" borderId="0" xfId="1" applyNumberFormat="1" applyBorder="1">
      <alignment vertical="top"/>
    </xf>
    <xf numFmtId="182" fontId="1" fillId="0" borderId="0" xfId="1" applyNumberFormat="1">
      <alignment vertical="top"/>
    </xf>
    <xf numFmtId="14" fontId="0" fillId="0" borderId="0" xfId="0" quotePrefix="1" applyNumberFormat="1"/>
    <xf numFmtId="22" fontId="0" fillId="0" borderId="0" xfId="0" quotePrefix="1" applyNumberFormat="1"/>
    <xf numFmtId="168" fontId="0" fillId="0" borderId="0" xfId="0" applyNumberFormat="1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14" fontId="0" fillId="2" borderId="0" xfId="0" applyNumberFormat="1" applyFill="1"/>
    <xf numFmtId="0" fontId="0" fillId="2" borderId="0" xfId="0" quotePrefix="1" applyFill="1"/>
    <xf numFmtId="0" fontId="0" fillId="25" borderId="0" xfId="0" applyFill="1"/>
    <xf numFmtId="174" fontId="0" fillId="0" borderId="0" xfId="0" applyNumberFormat="1"/>
    <xf numFmtId="0" fontId="13" fillId="0" borderId="0" xfId="0" applyFont="1" applyAlignment="1">
      <alignment vertical="top"/>
    </xf>
    <xf numFmtId="0" fontId="13" fillId="3" borderId="0" xfId="0" applyFont="1" applyFill="1" applyBorder="1" applyAlignment="1">
      <alignment horizontal="left" vertical="top"/>
    </xf>
    <xf numFmtId="0" fontId="13" fillId="0" borderId="0" xfId="0" applyFont="1"/>
    <xf numFmtId="0" fontId="4" fillId="0" borderId="0" xfId="0" applyFont="1"/>
    <xf numFmtId="0" fontId="22" fillId="0" borderId="0" xfId="4" applyFont="1"/>
    <xf numFmtId="0" fontId="21" fillId="0" borderId="0" xfId="4"/>
    <xf numFmtId="0" fontId="23" fillId="0" borderId="0" xfId="5"/>
    <xf numFmtId="0" fontId="24" fillId="0" borderId="0" xfId="0" applyFont="1"/>
    <xf numFmtId="0" fontId="25" fillId="0" borderId="0" xfId="0" applyFont="1"/>
    <xf numFmtId="0" fontId="26" fillId="0" borderId="0" xfId="0" applyFont="1"/>
    <xf numFmtId="0" fontId="0" fillId="26" borderId="0" xfId="0" applyFill="1"/>
    <xf numFmtId="0" fontId="27" fillId="27" borderId="0" xfId="0" applyFont="1" applyFill="1" applyAlignment="1">
      <alignment horizontal="center"/>
    </xf>
    <xf numFmtId="0" fontId="27" fillId="27" borderId="0" xfId="0" quotePrefix="1" applyFont="1" applyFill="1"/>
    <xf numFmtId="0" fontId="27" fillId="27" borderId="0" xfId="0" applyFont="1" applyFill="1"/>
    <xf numFmtId="0" fontId="0" fillId="18" borderId="0" xfId="0" applyFill="1"/>
    <xf numFmtId="0" fontId="27" fillId="27" borderId="0" xfId="0" applyFont="1" applyFill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0" fillId="0" borderId="0" xfId="0" applyFont="1" applyAlignment="1">
      <alignment horizontal="left" vertical="center" inden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0" fillId="0" borderId="0" xfId="0" applyFont="1"/>
    <xf numFmtId="0" fontId="0" fillId="0" borderId="0" xfId="0" quotePrefix="1" applyNumberFormat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wrapText="1"/>
    </xf>
    <xf numFmtId="0" fontId="0" fillId="0" borderId="0" xfId="0" applyNumberFormat="1" applyAlignment="1">
      <alignment horizontal="center"/>
    </xf>
    <xf numFmtId="0" fontId="0" fillId="28" borderId="0" xfId="0" applyFill="1"/>
    <xf numFmtId="0" fontId="0" fillId="26" borderId="0" xfId="0" applyFill="1" applyAlignment="1">
      <alignment horizontal="left"/>
    </xf>
    <xf numFmtId="0" fontId="11" fillId="31" borderId="41" xfId="0" applyFont="1" applyFill="1" applyBorder="1"/>
    <xf numFmtId="0" fontId="11" fillId="31" borderId="42" xfId="0" applyFont="1" applyFill="1" applyBorder="1"/>
    <xf numFmtId="0" fontId="0" fillId="32" borderId="41" xfId="0" applyFont="1" applyFill="1" applyBorder="1"/>
    <xf numFmtId="0" fontId="0" fillId="32" borderId="42" xfId="0" applyFont="1" applyFill="1" applyBorder="1"/>
    <xf numFmtId="0" fontId="0" fillId="0" borderId="43" xfId="0" applyFont="1" applyBorder="1"/>
    <xf numFmtId="0" fontId="0" fillId="0" borderId="44" xfId="0" applyFont="1" applyBorder="1"/>
    <xf numFmtId="0" fontId="0" fillId="32" borderId="43" xfId="0" applyFont="1" applyFill="1" applyBorder="1"/>
    <xf numFmtId="0" fontId="0" fillId="32" borderId="44" xfId="0" applyFont="1" applyFill="1" applyBorder="1"/>
    <xf numFmtId="0" fontId="0" fillId="0" borderId="45" xfId="0" applyFont="1" applyBorder="1"/>
    <xf numFmtId="0" fontId="0" fillId="0" borderId="46" xfId="0" applyFont="1" applyBorder="1"/>
    <xf numFmtId="0" fontId="11" fillId="9" borderId="48" xfId="7" applyFont="1" applyFill="1" applyBorder="1"/>
    <xf numFmtId="0" fontId="0" fillId="30" borderId="48" xfId="7" applyFont="1" applyFill="1" applyBorder="1"/>
    <xf numFmtId="0" fontId="0" fillId="30" borderId="47" xfId="7" applyFont="1" applyFill="1" applyBorder="1"/>
    <xf numFmtId="0" fontId="36" fillId="29" borderId="48" xfId="6" applyBorder="1"/>
    <xf numFmtId="0" fontId="36" fillId="29" borderId="47" xfId="6" applyBorder="1"/>
    <xf numFmtId="0" fontId="5" fillId="5" borderId="48" xfId="2" applyBorder="1"/>
    <xf numFmtId="0" fontId="0" fillId="20" borderId="14" xfId="0" applyFill="1" applyBorder="1" applyAlignment="1">
      <alignment vertical="center"/>
    </xf>
    <xf numFmtId="0" fontId="0" fillId="20" borderId="14" xfId="0" applyFill="1" applyBorder="1" applyAlignment="1">
      <alignment vertical="center" wrapText="1"/>
    </xf>
    <xf numFmtId="0" fontId="5" fillId="33" borderId="14" xfId="0" applyFont="1" applyFill="1" applyBorder="1" applyAlignment="1">
      <alignment vertical="center"/>
    </xf>
    <xf numFmtId="0" fontId="5" fillId="33" borderId="14" xfId="0" applyFont="1" applyFill="1" applyBorder="1" applyAlignment="1">
      <alignment vertical="center" wrapText="1"/>
    </xf>
    <xf numFmtId="0" fontId="5" fillId="33" borderId="16" xfId="0" applyFont="1" applyFill="1" applyBorder="1" applyAlignment="1">
      <alignment vertical="center"/>
    </xf>
    <xf numFmtId="0" fontId="0" fillId="2" borderId="14" xfId="0" applyFill="1" applyBorder="1"/>
    <xf numFmtId="2" fontId="0" fillId="0" borderId="14" xfId="0" applyNumberFormat="1" applyBorder="1"/>
    <xf numFmtId="2" fontId="0" fillId="0" borderId="49" xfId="0" applyNumberFormat="1" applyBorder="1"/>
    <xf numFmtId="0" fontId="0" fillId="2" borderId="50" xfId="0" applyFill="1" applyBorder="1" applyAlignment="1">
      <alignment vertical="center"/>
    </xf>
    <xf numFmtId="0" fontId="0" fillId="2" borderId="51" xfId="0" applyFill="1" applyBorder="1" applyAlignment="1">
      <alignment vertical="center"/>
    </xf>
    <xf numFmtId="0" fontId="5" fillId="33" borderId="52" xfId="0" applyFont="1" applyFill="1" applyBorder="1" applyAlignment="1">
      <alignment vertical="center"/>
    </xf>
    <xf numFmtId="2" fontId="0" fillId="0" borderId="53" xfId="0" applyNumberFormat="1" applyBorder="1"/>
    <xf numFmtId="2" fontId="0" fillId="0" borderId="54" xfId="0" applyNumberFormat="1" applyBorder="1"/>
    <xf numFmtId="0" fontId="5" fillId="33" borderId="55" xfId="0" applyFont="1" applyFill="1" applyBorder="1" applyAlignment="1">
      <alignment vertical="center" wrapText="1"/>
    </xf>
    <xf numFmtId="2" fontId="0" fillId="0" borderId="56" xfId="0" applyNumberFormat="1" applyBorder="1"/>
    <xf numFmtId="2" fontId="0" fillId="0" borderId="57" xfId="0" applyNumberFormat="1" applyBorder="1"/>
    <xf numFmtId="0" fontId="5" fillId="33" borderId="55" xfId="0" applyFont="1" applyFill="1" applyBorder="1" applyAlignment="1">
      <alignment vertical="center"/>
    </xf>
    <xf numFmtId="0" fontId="5" fillId="33" borderId="58" xfId="0" applyFont="1" applyFill="1" applyBorder="1" applyAlignment="1">
      <alignment vertical="center"/>
    </xf>
    <xf numFmtId="2" fontId="0" fillId="0" borderId="59" xfId="0" applyNumberFormat="1" applyBorder="1"/>
    <xf numFmtId="2" fontId="0" fillId="0" borderId="60" xfId="0" applyNumberFormat="1" applyBorder="1"/>
    <xf numFmtId="0" fontId="0" fillId="2" borderId="61" xfId="0" applyFill="1" applyBorder="1"/>
    <xf numFmtId="2" fontId="0" fillId="0" borderId="61" xfId="0" applyNumberFormat="1" applyBorder="1"/>
    <xf numFmtId="0" fontId="5" fillId="34" borderId="14" xfId="0" applyFont="1" applyFill="1" applyBorder="1"/>
    <xf numFmtId="2" fontId="0" fillId="35" borderId="14" xfId="0" applyNumberFormat="1" applyFill="1" applyBorder="1"/>
    <xf numFmtId="0" fontId="2" fillId="17" borderId="0" xfId="0" applyFont="1" applyFill="1"/>
    <xf numFmtId="0" fontId="2" fillId="17" borderId="1" xfId="0" applyFont="1" applyFill="1" applyBorder="1"/>
    <xf numFmtId="0" fontId="2" fillId="17" borderId="49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76" fontId="0" fillId="0" borderId="0" xfId="0" applyNumberFormat="1" applyBorder="1"/>
    <xf numFmtId="0" fontId="0" fillId="0" borderId="0" xfId="0" applyBorder="1"/>
    <xf numFmtId="0" fontId="11" fillId="33" borderId="14" xfId="0" applyFont="1" applyFill="1" applyBorder="1" applyAlignment="1">
      <alignment horizontal="center" vertical="center"/>
    </xf>
    <xf numFmtId="0" fontId="11" fillId="33" borderId="14" xfId="0" applyFont="1" applyFill="1" applyBorder="1" applyAlignment="1">
      <alignment horizontal="right" vertical="center"/>
    </xf>
    <xf numFmtId="0" fontId="0" fillId="0" borderId="1" xfId="0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49" xfId="0" applyBorder="1"/>
    <xf numFmtId="0" fontId="0" fillId="0" borderId="49" xfId="0" applyBorder="1" applyProtection="1">
      <protection locked="0"/>
    </xf>
    <xf numFmtId="0" fontId="0" fillId="0" borderId="49" xfId="0" applyFill="1" applyBorder="1" applyAlignment="1">
      <alignment horizontal="center" vertical="center"/>
    </xf>
    <xf numFmtId="14" fontId="0" fillId="0" borderId="49" xfId="0" applyNumberFormat="1" applyBorder="1"/>
    <xf numFmtId="0" fontId="0" fillId="0" borderId="49" xfId="0" applyFill="1" applyBorder="1"/>
    <xf numFmtId="0" fontId="0" fillId="0" borderId="49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49" xfId="0" applyBorder="1" applyAlignment="1">
      <alignment horizontal="center" vertical="center"/>
    </xf>
    <xf numFmtId="0" fontId="37" fillId="33" borderId="14" xfId="0" applyFont="1" applyFill="1" applyBorder="1" applyAlignment="1">
      <alignment horizontal="center"/>
    </xf>
    <xf numFmtId="0" fontId="37" fillId="33" borderId="14" xfId="0" applyFont="1" applyFill="1" applyBorder="1"/>
    <xf numFmtId="0" fontId="0" fillId="0" borderId="65" xfId="0" applyFont="1" applyBorder="1"/>
    <xf numFmtId="0" fontId="0" fillId="0" borderId="66" xfId="0" applyFont="1" applyBorder="1"/>
    <xf numFmtId="0" fontId="0" fillId="0" borderId="67" xfId="0" applyFont="1" applyBorder="1"/>
    <xf numFmtId="0" fontId="0" fillId="32" borderId="68" xfId="0" applyFont="1" applyFill="1" applyBorder="1"/>
    <xf numFmtId="0" fontId="0" fillId="32" borderId="64" xfId="0" applyFont="1" applyFill="1" applyBorder="1"/>
    <xf numFmtId="0" fontId="0" fillId="32" borderId="69" xfId="0" applyFont="1" applyFill="1" applyBorder="1"/>
    <xf numFmtId="0" fontId="0" fillId="0" borderId="68" xfId="0" applyFont="1" applyBorder="1"/>
    <xf numFmtId="0" fontId="0" fillId="0" borderId="64" xfId="0" applyFont="1" applyBorder="1"/>
    <xf numFmtId="0" fontId="0" fillId="0" borderId="69" xfId="0" applyFont="1" applyBorder="1"/>
    <xf numFmtId="0" fontId="0" fillId="0" borderId="70" xfId="0" applyFont="1" applyBorder="1"/>
    <xf numFmtId="0" fontId="0" fillId="0" borderId="63" xfId="0" applyFont="1" applyBorder="1"/>
    <xf numFmtId="0" fontId="0" fillId="0" borderId="30" xfId="0" applyFont="1" applyBorder="1"/>
    <xf numFmtId="0" fontId="0" fillId="22" borderId="63" xfId="0" applyFont="1" applyFill="1" applyBorder="1"/>
    <xf numFmtId="0" fontId="0" fillId="22" borderId="30" xfId="0" applyFont="1" applyFill="1" applyBorder="1"/>
    <xf numFmtId="183" fontId="0" fillId="0" borderId="1" xfId="0" applyNumberFormat="1" applyBorder="1"/>
    <xf numFmtId="184" fontId="0" fillId="0" borderId="0" xfId="0" applyNumberFormat="1"/>
    <xf numFmtId="0" fontId="1" fillId="2" borderId="0" xfId="1" applyFill="1">
      <alignment vertical="top"/>
    </xf>
    <xf numFmtId="0" fontId="0" fillId="22" borderId="71" xfId="0" applyFont="1" applyFill="1" applyBorder="1" applyAlignment="1">
      <alignment horizontal="center" vertical="center"/>
    </xf>
    <xf numFmtId="0" fontId="0" fillId="22" borderId="73" xfId="0" applyFont="1" applyFill="1" applyBorder="1" applyAlignment="1">
      <alignment horizontal="center" vertical="center"/>
    </xf>
    <xf numFmtId="0" fontId="0" fillId="22" borderId="62" xfId="0" applyFont="1" applyFill="1" applyBorder="1"/>
    <xf numFmtId="0" fontId="0" fillId="22" borderId="72" xfId="0" applyFont="1" applyFill="1" applyBorder="1"/>
    <xf numFmtId="0" fontId="32" fillId="0" borderId="0" xfId="0" applyFont="1" applyAlignment="1">
      <alignment vertical="center" wrapText="1"/>
    </xf>
    <xf numFmtId="0" fontId="0" fillId="0" borderId="0" xfId="0" applyAlignment="1"/>
    <xf numFmtId="0" fontId="33" fillId="0" borderId="0" xfId="0" applyFont="1" applyAlignment="1">
      <alignment vertical="center" wrapText="1"/>
    </xf>
    <xf numFmtId="0" fontId="11" fillId="11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vertical="top" wrapText="1"/>
    </xf>
    <xf numFmtId="0" fontId="0" fillId="26" borderId="0" xfId="0" applyFill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 shrinkToFit="1"/>
    </xf>
  </cellXfs>
  <cellStyles count="8">
    <cellStyle name="20 % – Zvýraznění1" xfId="7" builtinId="30"/>
    <cellStyle name="Hypertextový odkaz" xfId="5" builtinId="8"/>
    <cellStyle name="Normální" xfId="0" builtinId="0"/>
    <cellStyle name="Normální 2" xfId="1"/>
    <cellStyle name="Normální 3" xfId="4"/>
    <cellStyle name="Špatně" xfId="6" builtinId="27"/>
    <cellStyle name="Zvýraznění 2" xfId="2" builtinId="33"/>
    <cellStyle name="Zvýraznění 5" xfId="3" builtinId="45"/>
  </cellStyles>
  <dxfs count="13">
    <dxf>
      <numFmt numFmtId="2" formatCode="0.00"/>
    </dxf>
    <dxf>
      <numFmt numFmtId="180" formatCode="0.0"/>
    </dxf>
    <dxf>
      <numFmt numFmtId="2" formatCode="0.0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9900"/>
      </font>
    </dxf>
    <dxf>
      <font>
        <b/>
        <i val="0"/>
        <color auto="1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rgb="FFFF9900"/>
      </font>
    </dxf>
    <dxf>
      <font>
        <b/>
        <i val="0"/>
        <color auto="1"/>
      </font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FF99"/>
      <color rgb="FF00FFFF"/>
      <color rgb="FF99FF99"/>
      <color rgb="FF003300"/>
      <color rgb="FFFF9900"/>
      <color rgb="FF00FF00"/>
      <color rgb="FFFFCC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pivotCacheDefinition" Target="pivotCache/pivotCacheDefinition1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3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1.xml"/><Relationship Id="rId85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4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2.xml"/><Relationship Id="rId86" Type="http://schemas.openxmlformats.org/officeDocument/2006/relationships/pivotCacheDefinition" Target="pivotCache/pivotCacheDefinition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jpg"/><Relationship Id="rId2" Type="http://schemas.microsoft.com/office/2011/relationships/chartColorStyle" Target="colors7.xml"/><Relationship Id="rId1" Type="http://schemas.microsoft.com/office/2011/relationships/chartStyle" Target="style7.xml"/><Relationship Id="rId5" Type="http://schemas.openxmlformats.org/officeDocument/2006/relationships/image" Target="../media/image82.png"/><Relationship Id="rId4" Type="http://schemas.openxmlformats.org/officeDocument/2006/relationships/image" Target="../media/image81.jpg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jpg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image" Target="../media/image83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'Graf 1'!$D$6</c:f>
              <c:strCache>
                <c:ptCount val="1"/>
                <c:pt idx="0">
                  <c:v>Procent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dPt>
            <c:idx val="0"/>
            <c:bubble3D val="0"/>
            <c:explosion val="39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62-4643-AF56-94020035504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62-4643-AF56-940200355046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62-4643-AF56-9402003550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 1'!$B$7:$B$9</c:f>
              <c:strCache>
                <c:ptCount val="3"/>
                <c:pt idx="0">
                  <c:v>Muž</c:v>
                </c:pt>
                <c:pt idx="1">
                  <c:v>Žena</c:v>
                </c:pt>
                <c:pt idx="2">
                  <c:v>Neuvedeno</c:v>
                </c:pt>
              </c:strCache>
            </c:strRef>
          </c:cat>
          <c:val>
            <c:numRef>
              <c:f>'Graf 1'!$D$7:$D$9</c:f>
              <c:numCache>
                <c:formatCode>0.00</c:formatCode>
                <c:ptCount val="3"/>
                <c:pt idx="0">
                  <c:v>41.176470588235297</c:v>
                </c:pt>
                <c:pt idx="1">
                  <c:v>52.941176470588232</c:v>
                </c:pt>
                <c:pt idx="2">
                  <c:v>5.882352941176471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62-4643-AF56-940200355046}"/>
            </c:ext>
          </c:extLst>
        </c:ser>
        <c:ser>
          <c:idx val="1"/>
          <c:order val="1"/>
          <c:tx>
            <c:strRef>
              <c:f>'Graf 1'!$E$6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562-4643-AF56-9402003550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F562-4643-AF56-9402003550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F562-4643-AF56-9402003550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 1'!$B$7:$B$9</c:f>
              <c:strCache>
                <c:ptCount val="3"/>
                <c:pt idx="0">
                  <c:v>Muž</c:v>
                </c:pt>
                <c:pt idx="1">
                  <c:v>Žena</c:v>
                </c:pt>
                <c:pt idx="2">
                  <c:v>Neuvedeno</c:v>
                </c:pt>
              </c:strCache>
            </c:strRef>
          </c:cat>
          <c:val>
            <c:numRef>
              <c:f>'Graf 1'!$E$7:$E$9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D-F562-4643-AF56-94020035504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12700" cap="flat" cmpd="sng" algn="ctr">
      <a:noFill/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Dodávky obilí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Porovnání!$A$5</c:f>
              <c:strCache>
                <c:ptCount val="1"/>
                <c:pt idx="0">
                  <c:v>Brouzda</c:v>
                </c:pt>
              </c:strCache>
            </c:strRef>
          </c:tx>
          <c:spPr>
            <a:solidFill>
              <a:schemeClr val="tx1"/>
            </a:solidFill>
            <a:ln w="38100">
              <a:noFill/>
            </a:ln>
          </c:spPr>
          <c:invertIfNegative val="0"/>
          <c:cat>
            <c:strRef>
              <c:f>Porovnání!$B$1:$E$1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Porovnání!$B$5:$E$5</c:f>
              <c:numCache>
                <c:formatCode>#,##0</c:formatCode>
                <c:ptCount val="4"/>
                <c:pt idx="0">
                  <c:v>14017</c:v>
                </c:pt>
                <c:pt idx="1">
                  <c:v>20297</c:v>
                </c:pt>
                <c:pt idx="2">
                  <c:v>26473</c:v>
                </c:pt>
                <c:pt idx="3">
                  <c:v>24833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02-4D7E-A187-8D5600E99B58}"/>
            </c:ext>
          </c:extLst>
        </c:ser>
        <c:ser>
          <c:idx val="3"/>
          <c:order val="1"/>
          <c:tx>
            <c:strRef>
              <c:f>Porovnání!$A$4</c:f>
              <c:strCache>
                <c:ptCount val="1"/>
                <c:pt idx="0">
                  <c:v>Kyselý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Porovnání!$B$1:$E$1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Porovnání!$B$4:$E$4</c:f>
              <c:numCache>
                <c:formatCode>#,##0</c:formatCode>
                <c:ptCount val="4"/>
                <c:pt idx="0">
                  <c:v>24307</c:v>
                </c:pt>
                <c:pt idx="1">
                  <c:v>13741</c:v>
                </c:pt>
                <c:pt idx="2">
                  <c:v>26421</c:v>
                </c:pt>
                <c:pt idx="3">
                  <c:v>27745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02-4D7E-A187-8D5600E99B58}"/>
            </c:ext>
          </c:extLst>
        </c:ser>
        <c:ser>
          <c:idx val="0"/>
          <c:order val="2"/>
          <c:tx>
            <c:strRef>
              <c:f>Porovnání!$A$2</c:f>
              <c:strCache>
                <c:ptCount val="1"/>
                <c:pt idx="0">
                  <c:v>Novák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Porovnání!$B$1:$E$1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Porovnání!$B$2:$E$2</c:f>
              <c:numCache>
                <c:formatCode>#,##0</c:formatCode>
                <c:ptCount val="4"/>
                <c:pt idx="0">
                  <c:v>22864</c:v>
                </c:pt>
                <c:pt idx="1">
                  <c:v>16725</c:v>
                </c:pt>
                <c:pt idx="2">
                  <c:v>20428</c:v>
                </c:pt>
                <c:pt idx="3">
                  <c:v>25827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02-4D7E-A187-8D5600E99B58}"/>
            </c:ext>
          </c:extLst>
        </c:ser>
        <c:ser>
          <c:idx val="1"/>
          <c:order val="3"/>
          <c:tx>
            <c:strRef>
              <c:f>Porovnání!$A$3</c:f>
              <c:strCache>
                <c:ptCount val="1"/>
                <c:pt idx="0">
                  <c:v>Příhoda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Porovnání!$B$1:$E$1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Porovnání!$B$3:$E$3</c:f>
              <c:numCache>
                <c:formatCode>#,##0</c:formatCode>
                <c:ptCount val="4"/>
                <c:pt idx="0">
                  <c:v>22483</c:v>
                </c:pt>
                <c:pt idx="1">
                  <c:v>14347</c:v>
                </c:pt>
                <c:pt idx="2">
                  <c:v>19969</c:v>
                </c:pt>
                <c:pt idx="3">
                  <c:v>24997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02-4D7E-A187-8D5600E99B58}"/>
            </c:ext>
          </c:extLst>
        </c:ser>
        <c:ser>
          <c:idx val="5"/>
          <c:order val="4"/>
          <c:tx>
            <c:strRef>
              <c:f>Porovnání!$J$2</c:f>
              <c:strCache>
                <c:ptCount val="1"/>
                <c:pt idx="0">
                  <c:v>Starý</c:v>
                </c:pt>
              </c:strCache>
            </c:strRef>
          </c:tx>
          <c:invertIfNegative val="0"/>
          <c:cat>
            <c:strRef>
              <c:f>Porovnání!$I$3:$I$6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Porovnání!$J$3:$J$6</c:f>
              <c:numCache>
                <c:formatCode>#,##0</c:formatCode>
                <c:ptCount val="4"/>
                <c:pt idx="0">
                  <c:v>21258</c:v>
                </c:pt>
                <c:pt idx="1">
                  <c:v>15371</c:v>
                </c:pt>
                <c:pt idx="2">
                  <c:v>21211</c:v>
                </c:pt>
                <c:pt idx="3">
                  <c:v>18567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90-4127-83EB-F952DFFF6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3"/>
        <c:overlap val="-30"/>
        <c:axId val="416718608"/>
        <c:axId val="416717040"/>
      </c:barChart>
      <c:lineChart>
        <c:grouping val="standard"/>
        <c:varyColors val="0"/>
        <c:ser>
          <c:idx val="2"/>
          <c:order val="5"/>
          <c:tx>
            <c:strRef>
              <c:f>Porovnání!$A$6</c:f>
              <c:strCache>
                <c:ptCount val="1"/>
                <c:pt idx="0">
                  <c:v>Okresní průměr</c:v>
                </c:pt>
              </c:strCache>
            </c:strRef>
          </c:tx>
          <c:spPr>
            <a:ln w="73025">
              <a:solidFill>
                <a:srgbClr val="00B050"/>
              </a:solidFill>
            </a:ln>
          </c:spPr>
          <c:marker>
            <c:symbol val="circle"/>
            <c:size val="10"/>
            <c:spPr>
              <a:solidFill>
                <a:schemeClr val="bg1"/>
              </a:solidFill>
              <a:ln w="12700">
                <a:solidFill>
                  <a:srgbClr val="00B050"/>
                </a:solidFill>
              </a:ln>
            </c:spPr>
          </c:marker>
          <c:cat>
            <c:strRef>
              <c:f>Porovnání!$I$3:$I$6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Porovnání!$B$6:$E$6</c:f>
              <c:numCache>
                <c:formatCode>#,##0</c:formatCode>
                <c:ptCount val="4"/>
                <c:pt idx="0">
                  <c:v>18431</c:v>
                </c:pt>
                <c:pt idx="1">
                  <c:v>21584</c:v>
                </c:pt>
                <c:pt idx="2">
                  <c:v>27919</c:v>
                </c:pt>
                <c:pt idx="3">
                  <c:v>25679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02-4D7E-A187-8D5600E99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719000"/>
        <c:axId val="416717824"/>
      </c:lineChart>
      <c:catAx>
        <c:axId val="416718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cs-CZ"/>
          </a:p>
        </c:txPr>
        <c:crossAx val="416717040"/>
        <c:crosses val="autoZero"/>
        <c:auto val="1"/>
        <c:lblAlgn val="ctr"/>
        <c:lblOffset val="100"/>
        <c:noMultiLvlLbl val="0"/>
      </c:catAx>
      <c:valAx>
        <c:axId val="416717040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cs-CZ"/>
          </a:p>
        </c:txPr>
        <c:crossAx val="416718608"/>
        <c:crosses val="autoZero"/>
        <c:crossBetween val="between"/>
        <c:majorUnit val="5000"/>
        <c:dispUnits>
          <c:builtInUnit val="thousands"/>
          <c:dispUnitsLbl/>
        </c:dispUnits>
      </c:valAx>
      <c:valAx>
        <c:axId val="416717824"/>
        <c:scaling>
          <c:orientation val="minMax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crossAx val="416719000"/>
        <c:crosses val="max"/>
        <c:crossBetween val="between"/>
        <c:dispUnits>
          <c:builtInUnit val="thousands"/>
        </c:dispUnits>
      </c:valAx>
      <c:catAx>
        <c:axId val="416719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671782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1200" b="1"/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Porovnání!$A$5</c:f>
              <c:strCache>
                <c:ptCount val="1"/>
                <c:pt idx="0">
                  <c:v>Brouzda</c:v>
                </c:pt>
              </c:strCache>
            </c:strRef>
          </c:tx>
          <c:spPr>
            <a:solidFill>
              <a:schemeClr val="accent4"/>
            </a:solidFill>
            <a:ln w="0">
              <a:solidFill>
                <a:schemeClr val="tx1"/>
              </a:solidFill>
            </a:ln>
            <a:effectLst/>
          </c:spPr>
          <c:invertIfNegative val="0"/>
          <c:cat>
            <c:strRef>
              <c:f>Porovnání!$B$1:$E$1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Porovnání!$B$5:$E$5</c:f>
              <c:numCache>
                <c:formatCode>#,##0</c:formatCode>
                <c:ptCount val="4"/>
                <c:pt idx="0">
                  <c:v>14017</c:v>
                </c:pt>
                <c:pt idx="1">
                  <c:v>20297</c:v>
                </c:pt>
                <c:pt idx="2">
                  <c:v>26473</c:v>
                </c:pt>
                <c:pt idx="3">
                  <c:v>24833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12-4B38-8EF7-3F5FC28C6709}"/>
            </c:ext>
          </c:extLst>
        </c:ser>
        <c:ser>
          <c:idx val="2"/>
          <c:order val="1"/>
          <c:tx>
            <c:strRef>
              <c:f>Porovnání!$A$4</c:f>
              <c:strCache>
                <c:ptCount val="1"/>
                <c:pt idx="0">
                  <c:v>Kyselý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Porovnání!$B$1:$E$1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Porovnání!$B$4:$E$4</c:f>
              <c:numCache>
                <c:formatCode>#,##0</c:formatCode>
                <c:ptCount val="4"/>
                <c:pt idx="0">
                  <c:v>24307</c:v>
                </c:pt>
                <c:pt idx="1">
                  <c:v>13741</c:v>
                </c:pt>
                <c:pt idx="2">
                  <c:v>26421</c:v>
                </c:pt>
                <c:pt idx="3">
                  <c:v>27745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2-4B38-8EF7-3F5FC28C6709}"/>
            </c:ext>
          </c:extLst>
        </c:ser>
        <c:ser>
          <c:idx val="0"/>
          <c:order val="2"/>
          <c:tx>
            <c:strRef>
              <c:f>Porovnání!$A$2</c:f>
              <c:strCache>
                <c:ptCount val="1"/>
                <c:pt idx="0">
                  <c:v>Novák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Porovnání!$B$1:$E$1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Porovnání!$B$2:$E$2</c:f>
              <c:numCache>
                <c:formatCode>#,##0</c:formatCode>
                <c:ptCount val="4"/>
                <c:pt idx="0">
                  <c:v>22864</c:v>
                </c:pt>
                <c:pt idx="1">
                  <c:v>16725</c:v>
                </c:pt>
                <c:pt idx="2">
                  <c:v>20428</c:v>
                </c:pt>
                <c:pt idx="3">
                  <c:v>25827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2-4B38-8EF7-3F5FC28C6709}"/>
            </c:ext>
          </c:extLst>
        </c:ser>
        <c:ser>
          <c:idx val="1"/>
          <c:order val="3"/>
          <c:tx>
            <c:strRef>
              <c:f>Porovnání!$A$3</c:f>
              <c:strCache>
                <c:ptCount val="1"/>
                <c:pt idx="0">
                  <c:v>Příhoda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Porovnání!$B$1:$E$1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Porovnání!$B$3:$E$3</c:f>
              <c:numCache>
                <c:formatCode>#,##0</c:formatCode>
                <c:ptCount val="4"/>
                <c:pt idx="0">
                  <c:v>22483</c:v>
                </c:pt>
                <c:pt idx="1">
                  <c:v>14347</c:v>
                </c:pt>
                <c:pt idx="2">
                  <c:v>19969</c:v>
                </c:pt>
                <c:pt idx="3">
                  <c:v>24997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2-4B38-8EF7-3F5FC28C6709}"/>
            </c:ext>
          </c:extLst>
        </c:ser>
        <c:ser>
          <c:idx val="5"/>
          <c:order val="4"/>
          <c:tx>
            <c:strRef>
              <c:f>Porovnání!$J$2</c:f>
              <c:strCache>
                <c:ptCount val="1"/>
                <c:pt idx="0">
                  <c:v>Starý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Porovnání!$J$3:$J$6</c:f>
              <c:numCache>
                <c:formatCode>#,##0</c:formatCode>
                <c:ptCount val="4"/>
                <c:pt idx="0">
                  <c:v>21258</c:v>
                </c:pt>
                <c:pt idx="1">
                  <c:v>15371</c:v>
                </c:pt>
                <c:pt idx="2">
                  <c:v>21211</c:v>
                </c:pt>
                <c:pt idx="3">
                  <c:v>18567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12-4B38-8EF7-3F5FC28C6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552514383"/>
        <c:axId val="552513135"/>
      </c:barChart>
      <c:lineChart>
        <c:grouping val="standard"/>
        <c:varyColors val="0"/>
        <c:ser>
          <c:idx val="4"/>
          <c:order val="5"/>
          <c:tx>
            <c:strRef>
              <c:f>Porovnání!$A$6</c:f>
              <c:strCache>
                <c:ptCount val="1"/>
                <c:pt idx="0">
                  <c:v>Okresní průměr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Porovnání!$B$1:$E$1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Porovnání!$B$6:$E$6</c:f>
              <c:numCache>
                <c:formatCode>#,##0</c:formatCode>
                <c:ptCount val="4"/>
                <c:pt idx="0">
                  <c:v>18431</c:v>
                </c:pt>
                <c:pt idx="1">
                  <c:v>21584</c:v>
                </c:pt>
                <c:pt idx="2">
                  <c:v>27919</c:v>
                </c:pt>
                <c:pt idx="3">
                  <c:v>25679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12-4B38-8EF7-3F5FC28C6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124335"/>
        <c:axId val="202931871"/>
      </c:lineChart>
      <c:catAx>
        <c:axId val="552514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2513135"/>
        <c:crosses val="autoZero"/>
        <c:auto val="1"/>
        <c:lblAlgn val="ctr"/>
        <c:lblOffset val="100"/>
        <c:noMultiLvlLbl val="0"/>
      </c:catAx>
      <c:valAx>
        <c:axId val="55251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2514383"/>
        <c:crosses val="autoZero"/>
        <c:crossBetween val="between"/>
      </c:valAx>
      <c:valAx>
        <c:axId val="202931871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56124335"/>
        <c:crosses val="max"/>
        <c:crossBetween val="between"/>
      </c:valAx>
      <c:catAx>
        <c:axId val="3561243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931871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Dodávky obilí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4.6665648148148151E-2"/>
          <c:y val="0.10903773148148148"/>
          <c:w val="0.64141012281440291"/>
          <c:h val="0.75551504629629629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Porovnání!$A$5</c:f>
              <c:strCache>
                <c:ptCount val="1"/>
                <c:pt idx="0">
                  <c:v>Brouzda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Porovnání!$I$3:$I$6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Porovnání!$B$5:$E$5</c:f>
              <c:numCache>
                <c:formatCode>#,##0</c:formatCode>
                <c:ptCount val="4"/>
                <c:pt idx="0">
                  <c:v>14017</c:v>
                </c:pt>
                <c:pt idx="1">
                  <c:v>20297</c:v>
                </c:pt>
                <c:pt idx="2">
                  <c:v>26473</c:v>
                </c:pt>
                <c:pt idx="3">
                  <c:v>24833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53-44EB-99AD-6F3519ED0129}"/>
            </c:ext>
          </c:extLst>
        </c:ser>
        <c:ser>
          <c:idx val="2"/>
          <c:order val="1"/>
          <c:tx>
            <c:strRef>
              <c:f>Porovnání!$A$4</c:f>
              <c:strCache>
                <c:ptCount val="1"/>
                <c:pt idx="0">
                  <c:v>Kyselý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Porovnání!$I$3:$I$6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Porovnání!$B$4:$E$4</c:f>
              <c:numCache>
                <c:formatCode>#,##0</c:formatCode>
                <c:ptCount val="4"/>
                <c:pt idx="0">
                  <c:v>24307</c:v>
                </c:pt>
                <c:pt idx="1">
                  <c:v>13741</c:v>
                </c:pt>
                <c:pt idx="2">
                  <c:v>26421</c:v>
                </c:pt>
                <c:pt idx="3">
                  <c:v>27745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53-44EB-99AD-6F3519ED0129}"/>
            </c:ext>
          </c:extLst>
        </c:ser>
        <c:ser>
          <c:idx val="0"/>
          <c:order val="2"/>
          <c:tx>
            <c:strRef>
              <c:f>Porovnání!$A$2</c:f>
              <c:strCache>
                <c:ptCount val="1"/>
                <c:pt idx="0">
                  <c:v>Novák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Porovnání!$I$3:$I$6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Porovnání!$B$2:$E$2</c:f>
              <c:numCache>
                <c:formatCode>#,##0</c:formatCode>
                <c:ptCount val="4"/>
                <c:pt idx="0">
                  <c:v>22864</c:v>
                </c:pt>
                <c:pt idx="1">
                  <c:v>16725</c:v>
                </c:pt>
                <c:pt idx="2">
                  <c:v>20428</c:v>
                </c:pt>
                <c:pt idx="3">
                  <c:v>25827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53-44EB-99AD-6F3519ED0129}"/>
            </c:ext>
          </c:extLst>
        </c:ser>
        <c:ser>
          <c:idx val="1"/>
          <c:order val="3"/>
          <c:tx>
            <c:strRef>
              <c:f>Porovnání!$A$3</c:f>
              <c:strCache>
                <c:ptCount val="1"/>
                <c:pt idx="0">
                  <c:v>Příhoda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</c:spPr>
          <c:invertIfNegative val="0"/>
          <c:cat>
            <c:strRef>
              <c:f>Porovnání!$I$3:$I$6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Porovnání!$B$3:$E$3</c:f>
              <c:numCache>
                <c:formatCode>#,##0</c:formatCode>
                <c:ptCount val="4"/>
                <c:pt idx="0">
                  <c:v>22483</c:v>
                </c:pt>
                <c:pt idx="1">
                  <c:v>14347</c:v>
                </c:pt>
                <c:pt idx="2">
                  <c:v>19969</c:v>
                </c:pt>
                <c:pt idx="3">
                  <c:v>24997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53-44EB-99AD-6F3519ED0129}"/>
            </c:ext>
          </c:extLst>
        </c:ser>
        <c:ser>
          <c:idx val="5"/>
          <c:order val="4"/>
          <c:tx>
            <c:strRef>
              <c:f>Porovnání!$J$2</c:f>
              <c:strCache>
                <c:ptCount val="1"/>
                <c:pt idx="0">
                  <c:v>Starý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cat>
            <c:strRef>
              <c:f>Porovnání!$I$3:$I$6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Porovnání!$J$3:$J$6</c:f>
              <c:numCache>
                <c:formatCode>#,##0</c:formatCode>
                <c:ptCount val="4"/>
                <c:pt idx="0">
                  <c:v>21258</c:v>
                </c:pt>
                <c:pt idx="1">
                  <c:v>15371</c:v>
                </c:pt>
                <c:pt idx="2">
                  <c:v>21211</c:v>
                </c:pt>
                <c:pt idx="3">
                  <c:v>18567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53-44EB-99AD-6F3519ED0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70562656"/>
        <c:axId val="1970563072"/>
      </c:barChart>
      <c:lineChart>
        <c:grouping val="standard"/>
        <c:varyColors val="0"/>
        <c:ser>
          <c:idx val="4"/>
          <c:order val="5"/>
          <c:tx>
            <c:strRef>
              <c:f>Porovnání!$A$6</c:f>
              <c:strCache>
                <c:ptCount val="1"/>
                <c:pt idx="0">
                  <c:v>Okresní průměr</c:v>
                </c:pt>
              </c:strCache>
            </c:strRef>
          </c:tx>
          <c:spPr>
            <a:ln w="60325" cap="rnd">
              <a:solidFill>
                <a:srgbClr val="FF0000"/>
              </a:solidFill>
              <a:round/>
            </a:ln>
            <a:effectLst>
              <a:glow rad="12700">
                <a:schemeClr val="accent1">
                  <a:alpha val="40000"/>
                </a:schemeClr>
              </a:glow>
              <a:outerShdw blurRad="12700" dir="5400000" algn="ctr" rotWithShape="0">
                <a:srgbClr val="000000">
                  <a:alpha val="43137"/>
                </a:srgbClr>
              </a:outerShdw>
            </a:effectLst>
          </c:spPr>
          <c:marker>
            <c:symbol val="square"/>
            <c:size val="10"/>
            <c:spPr>
              <a:solidFill>
                <a:schemeClr val="bg1"/>
              </a:solidFill>
              <a:ln w="9525">
                <a:solidFill>
                  <a:srgbClr val="FF0000">
                    <a:alpha val="98000"/>
                  </a:srgbClr>
                </a:solidFill>
              </a:ln>
              <a:effectLst/>
            </c:spPr>
          </c:marker>
          <c:cat>
            <c:strRef>
              <c:f>Porovnání!$I$3:$I$6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Porovnání!$B$6:$E$6</c:f>
              <c:numCache>
                <c:formatCode>#,##0</c:formatCode>
                <c:ptCount val="4"/>
                <c:pt idx="0">
                  <c:v>18431</c:v>
                </c:pt>
                <c:pt idx="1">
                  <c:v>21584</c:v>
                </c:pt>
                <c:pt idx="2">
                  <c:v>27919</c:v>
                </c:pt>
                <c:pt idx="3">
                  <c:v>25679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53-44EB-99AD-6F3519ED0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698608"/>
        <c:axId val="1974702768"/>
      </c:lineChart>
      <c:catAx>
        <c:axId val="197056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70563072"/>
        <c:crosses val="autoZero"/>
        <c:auto val="1"/>
        <c:lblAlgn val="ctr"/>
        <c:lblOffset val="100"/>
        <c:noMultiLvlLbl val="0"/>
      </c:catAx>
      <c:valAx>
        <c:axId val="197056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70562656"/>
        <c:crosses val="autoZero"/>
        <c:crossBetween val="between"/>
      </c:valAx>
      <c:valAx>
        <c:axId val="197470276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74698608"/>
        <c:crosses val="max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</c:dispUnitsLbl>
        </c:dispUnits>
      </c:valAx>
      <c:catAx>
        <c:axId val="1974698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4702768"/>
        <c:crosses val="autoZero"/>
        <c:auto val="1"/>
        <c:lblAlgn val="ctr"/>
        <c:lblOffset val="100"/>
        <c:noMultiLvlLbl val="0"/>
      </c:catAx>
      <c:spPr>
        <a:solidFill>
          <a:srgbClr val="FFFF99"/>
        </a:solidFill>
        <a:ln w="19050">
          <a:solidFill>
            <a:schemeClr val="accent1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/>
              <a:t>Sklizen obilovin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'Porovnání (2)'!$A$5</c:f>
              <c:strCache>
                <c:ptCount val="1"/>
                <c:pt idx="0">
                  <c:v>Brouzda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'Porovnání (2)'!$B$1:$E$1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'Porovnání (2)'!$B$5:$E$5</c:f>
              <c:numCache>
                <c:formatCode>#,##0</c:formatCode>
                <c:ptCount val="4"/>
                <c:pt idx="0">
                  <c:v>14017</c:v>
                </c:pt>
                <c:pt idx="1">
                  <c:v>20297</c:v>
                </c:pt>
                <c:pt idx="2">
                  <c:v>26473</c:v>
                </c:pt>
                <c:pt idx="3">
                  <c:v>24833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82-4C2F-9A87-100C3BC51CEB}"/>
            </c:ext>
          </c:extLst>
        </c:ser>
        <c:ser>
          <c:idx val="2"/>
          <c:order val="1"/>
          <c:tx>
            <c:strRef>
              <c:f>'Porovnání (2)'!$A$4</c:f>
              <c:strCache>
                <c:ptCount val="1"/>
                <c:pt idx="0">
                  <c:v>Kyselý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</c:spPr>
          <c:invertIfNegative val="0"/>
          <c:cat>
            <c:strRef>
              <c:f>'Porovnání (2)'!$B$1:$E$1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'Porovnání (2)'!$B$4:$E$4</c:f>
              <c:numCache>
                <c:formatCode>#,##0</c:formatCode>
                <c:ptCount val="4"/>
                <c:pt idx="0">
                  <c:v>24307</c:v>
                </c:pt>
                <c:pt idx="1">
                  <c:v>13741</c:v>
                </c:pt>
                <c:pt idx="2">
                  <c:v>26421</c:v>
                </c:pt>
                <c:pt idx="3">
                  <c:v>27745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82-4C2F-9A87-100C3BC51CEB}"/>
            </c:ext>
          </c:extLst>
        </c:ser>
        <c:ser>
          <c:idx val="0"/>
          <c:order val="2"/>
          <c:tx>
            <c:strRef>
              <c:f>'Porovnání (2)'!$A$2</c:f>
              <c:strCache>
                <c:ptCount val="1"/>
                <c:pt idx="0">
                  <c:v>Novák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'Porovnání (2)'!$B$1:$E$1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'Porovnání (2)'!$B$2:$E$2</c:f>
              <c:numCache>
                <c:formatCode>#,##0</c:formatCode>
                <c:ptCount val="4"/>
                <c:pt idx="0">
                  <c:v>22864</c:v>
                </c:pt>
                <c:pt idx="1">
                  <c:v>16725</c:v>
                </c:pt>
                <c:pt idx="2">
                  <c:v>20428</c:v>
                </c:pt>
                <c:pt idx="3">
                  <c:v>25827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82-4C2F-9A87-100C3BC51CEB}"/>
            </c:ext>
          </c:extLst>
        </c:ser>
        <c:ser>
          <c:idx val="1"/>
          <c:order val="3"/>
          <c:tx>
            <c:strRef>
              <c:f>'Porovnání (2)'!$A$3</c:f>
              <c:strCache>
                <c:ptCount val="1"/>
                <c:pt idx="0">
                  <c:v>Příhoda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'Porovnání (2)'!$B$1:$E$1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'Porovnání (2)'!$B$3:$E$3</c:f>
              <c:numCache>
                <c:formatCode>#,##0</c:formatCode>
                <c:ptCount val="4"/>
                <c:pt idx="0">
                  <c:v>22483</c:v>
                </c:pt>
                <c:pt idx="1">
                  <c:v>14347</c:v>
                </c:pt>
                <c:pt idx="2">
                  <c:v>19969</c:v>
                </c:pt>
                <c:pt idx="3">
                  <c:v>24997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82-4C2F-9A87-100C3BC51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844904704"/>
        <c:axId val="1844905536"/>
      </c:barChart>
      <c:lineChart>
        <c:grouping val="standard"/>
        <c:varyColors val="0"/>
        <c:ser>
          <c:idx val="4"/>
          <c:order val="4"/>
          <c:tx>
            <c:strRef>
              <c:f>'Porovnání (2)'!$A$6</c:f>
              <c:strCache>
                <c:ptCount val="1"/>
                <c:pt idx="0">
                  <c:v>Okresní průměr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19050">
                <a:solidFill>
                  <a:schemeClr val="tx1">
                    <a:alpha val="97000"/>
                  </a:schemeClr>
                </a:solidFill>
              </a:ln>
              <a:effectLst/>
            </c:spPr>
          </c:marker>
          <c:cat>
            <c:strRef>
              <c:f>'Porovnání (2)'!$B$1:$E$1</c:f>
              <c:strCache>
                <c:ptCount val="4"/>
                <c:pt idx="0">
                  <c:v>Pšenice</c:v>
                </c:pt>
                <c:pt idx="1">
                  <c:v>Ječmen</c:v>
                </c:pt>
                <c:pt idx="2">
                  <c:v>Oves</c:v>
                </c:pt>
                <c:pt idx="3">
                  <c:v>Žito</c:v>
                </c:pt>
              </c:strCache>
            </c:strRef>
          </c:cat>
          <c:val>
            <c:numRef>
              <c:f>'Porovnání (2)'!$B$6:$E$6</c:f>
              <c:numCache>
                <c:formatCode>#,##0</c:formatCode>
                <c:ptCount val="4"/>
                <c:pt idx="0">
                  <c:v>18431</c:v>
                </c:pt>
                <c:pt idx="1">
                  <c:v>21584</c:v>
                </c:pt>
                <c:pt idx="2">
                  <c:v>27919</c:v>
                </c:pt>
                <c:pt idx="3">
                  <c:v>25679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82-4C2F-9A87-100C3BC51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3041568"/>
        <c:axId val="1843028672"/>
      </c:lineChart>
      <c:dateAx>
        <c:axId val="1844904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obiloviny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844905536"/>
        <c:crosses val="autoZero"/>
        <c:auto val="0"/>
        <c:lblOffset val="100"/>
        <c:baseTimeUnit val="days"/>
      </c:dateAx>
      <c:valAx>
        <c:axId val="184490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844904704"/>
        <c:crosses val="autoZero"/>
        <c:crossBetween val="between"/>
      </c:valAx>
      <c:valAx>
        <c:axId val="184302867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843041568"/>
        <c:crosses val="max"/>
        <c:crossBetween val="between"/>
      </c:valAx>
      <c:catAx>
        <c:axId val="184304156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843028672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0335870516185477"/>
          <c:y val="0.19949074074074077"/>
          <c:w val="0.82883814523184607"/>
          <c:h val="0.61498432487605714"/>
        </c:manualLayout>
      </c:layout>
      <c:lineChart>
        <c:grouping val="standard"/>
        <c:varyColors val="0"/>
        <c:ser>
          <c:idx val="0"/>
          <c:order val="0"/>
          <c:tx>
            <c:strRef>
              <c:f>'Graf 4 (2)'!$J$7</c:f>
              <c:strCache>
                <c:ptCount val="1"/>
                <c:pt idx="0">
                  <c:v>Příjmy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chemeClr val="accent1"/>
                </a:solidFill>
              </a:ln>
              <a:effectLst/>
            </c:spPr>
          </c:marker>
          <c:cat>
            <c:strRef>
              <c:f>'Graf 4 (2)'!$K$6:$P$6</c:f>
              <c:strCache>
                <c:ptCount val="6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</c:strCache>
            </c:strRef>
          </c:cat>
          <c:val>
            <c:numRef>
              <c:f>'Graf 4 (2)'!$K$7:$P$7</c:f>
              <c:numCache>
                <c:formatCode>General</c:formatCode>
                <c:ptCount val="6"/>
                <c:pt idx="0">
                  <c:v>253652</c:v>
                </c:pt>
                <c:pt idx="1">
                  <c:v>325414</c:v>
                </c:pt>
                <c:pt idx="2">
                  <c:v>245741</c:v>
                </c:pt>
                <c:pt idx="3">
                  <c:v>214541</c:v>
                </c:pt>
                <c:pt idx="4">
                  <c:v>301214</c:v>
                </c:pt>
                <c:pt idx="5">
                  <c:v>303145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7-4ADF-8FAE-6A95049A7684}"/>
            </c:ext>
          </c:extLst>
        </c:ser>
        <c:ser>
          <c:idx val="1"/>
          <c:order val="1"/>
          <c:tx>
            <c:strRef>
              <c:f>'Graf 4 (2)'!$J$8</c:f>
              <c:strCache>
                <c:ptCount val="1"/>
                <c:pt idx="0">
                  <c:v>Výdaje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12700">
                <a:solidFill>
                  <a:schemeClr val="accent2"/>
                </a:solidFill>
              </a:ln>
              <a:effectLst/>
            </c:spPr>
          </c:marker>
          <c:cat>
            <c:strRef>
              <c:f>'Graf 4 (2)'!$K$6:$P$6</c:f>
              <c:strCache>
                <c:ptCount val="6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</c:strCache>
            </c:strRef>
          </c:cat>
          <c:val>
            <c:numRef>
              <c:f>'Graf 4 (2)'!$K$8:$P$8</c:f>
              <c:numCache>
                <c:formatCode>General</c:formatCode>
                <c:ptCount val="6"/>
                <c:pt idx="0">
                  <c:v>150868</c:v>
                </c:pt>
                <c:pt idx="1">
                  <c:v>231078</c:v>
                </c:pt>
                <c:pt idx="2">
                  <c:v>180699</c:v>
                </c:pt>
                <c:pt idx="3">
                  <c:v>147718</c:v>
                </c:pt>
                <c:pt idx="4">
                  <c:v>211480</c:v>
                </c:pt>
                <c:pt idx="5">
                  <c:v>224858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A7-4ADF-8FAE-6A95049A7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138928"/>
        <c:axId val="1515139760"/>
      </c:lineChart>
      <c:lineChart>
        <c:grouping val="standard"/>
        <c:varyColors val="0"/>
        <c:ser>
          <c:idx val="2"/>
          <c:order val="2"/>
          <c:tx>
            <c:strRef>
              <c:f>'Graf 4 (2)'!$J$9</c:f>
              <c:strCache>
                <c:ptCount val="1"/>
                <c:pt idx="0">
                  <c:v>Počet pracovníků</c:v>
                </c:pt>
              </c:strCache>
            </c:strRef>
          </c:tx>
          <c:spPr>
            <a:ln w="53975" cap="sq" cmpd="sng">
              <a:solidFill>
                <a:schemeClr val="accent3"/>
              </a:solidFill>
              <a:bevel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19050" cap="sq">
                <a:solidFill>
                  <a:schemeClr val="accent3"/>
                </a:solidFill>
                <a:miter lim="800000"/>
              </a:ln>
              <a:effectLst/>
            </c:spPr>
          </c:marker>
          <c:cat>
            <c:strRef>
              <c:f>'Graf 4 (2)'!$K$6:$P$6</c:f>
              <c:strCache>
                <c:ptCount val="6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</c:strCache>
            </c:strRef>
          </c:cat>
          <c:val>
            <c:numRef>
              <c:f>'Graf 4 (2)'!$K$9:$P$9</c:f>
              <c:numCache>
                <c:formatCode>General</c:formatCode>
                <c:ptCount val="6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A7-4ADF-8FAE-6A95049A7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645456"/>
        <c:axId val="1619647536"/>
      </c:lineChart>
      <c:catAx>
        <c:axId val="151513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15139760"/>
        <c:crosses val="autoZero"/>
        <c:auto val="1"/>
        <c:lblAlgn val="ctr"/>
        <c:lblOffset val="100"/>
        <c:noMultiLvlLbl val="0"/>
      </c:catAx>
      <c:valAx>
        <c:axId val="151513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15138928"/>
        <c:crosses val="autoZero"/>
        <c:crossBetween val="between"/>
      </c:valAx>
      <c:valAx>
        <c:axId val="1619647536"/>
        <c:scaling>
          <c:orientation val="minMax"/>
          <c:max val="2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19645456"/>
        <c:crosses val="max"/>
        <c:crossBetween val="between"/>
      </c:valAx>
      <c:catAx>
        <c:axId val="1619645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19647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4 (2)'!$J$7</c:f>
              <c:strCache>
                <c:ptCount val="1"/>
                <c:pt idx="0">
                  <c:v>Příjmy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4 (2)'!$K$6:$P$6</c:f>
              <c:strCache>
                <c:ptCount val="6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</c:strCache>
            </c:strRef>
          </c:cat>
          <c:val>
            <c:numRef>
              <c:f>'Graf 4 (2)'!$K$7:$P$7</c:f>
              <c:numCache>
                <c:formatCode>General</c:formatCode>
                <c:ptCount val="6"/>
                <c:pt idx="0">
                  <c:v>253652</c:v>
                </c:pt>
                <c:pt idx="1">
                  <c:v>325414</c:v>
                </c:pt>
                <c:pt idx="2">
                  <c:v>245741</c:v>
                </c:pt>
                <c:pt idx="3">
                  <c:v>214541</c:v>
                </c:pt>
                <c:pt idx="4">
                  <c:v>301214</c:v>
                </c:pt>
                <c:pt idx="5">
                  <c:v>303145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1-4799-839C-D05DC2823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3307296"/>
        <c:axId val="1513308960"/>
      </c:barChart>
      <c:lineChart>
        <c:grouping val="standard"/>
        <c:varyColors val="0"/>
        <c:ser>
          <c:idx val="1"/>
          <c:order val="1"/>
          <c:tx>
            <c:strRef>
              <c:f>'Graf 4 (2)'!$J$8</c:f>
              <c:strCache>
                <c:ptCount val="1"/>
                <c:pt idx="0">
                  <c:v>Výdaje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'Graf 4 (2)'!$K$6:$P$6</c:f>
              <c:strCache>
                <c:ptCount val="6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</c:strCache>
            </c:strRef>
          </c:cat>
          <c:val>
            <c:numRef>
              <c:f>'Graf 4 (2)'!$K$8:$P$8</c:f>
              <c:numCache>
                <c:formatCode>General</c:formatCode>
                <c:ptCount val="6"/>
                <c:pt idx="0">
                  <c:v>150868</c:v>
                </c:pt>
                <c:pt idx="1">
                  <c:v>231078</c:v>
                </c:pt>
                <c:pt idx="2">
                  <c:v>180699</c:v>
                </c:pt>
                <c:pt idx="3">
                  <c:v>147718</c:v>
                </c:pt>
                <c:pt idx="4">
                  <c:v>211480</c:v>
                </c:pt>
                <c:pt idx="5">
                  <c:v>224858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61-4799-839C-D05DC2823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307296"/>
        <c:axId val="1513308960"/>
      </c:lineChart>
      <c:catAx>
        <c:axId val="151330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13308960"/>
        <c:crosses val="autoZero"/>
        <c:auto val="1"/>
        <c:lblAlgn val="ctr"/>
        <c:lblOffset val="100"/>
        <c:noMultiLvlLbl val="0"/>
      </c:catAx>
      <c:valAx>
        <c:axId val="151330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13307296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136482939632549E-2"/>
          <c:y val="0.14070661728031661"/>
          <c:w val="0.90286351706036749"/>
          <c:h val="0.7629350536790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5'!$B$2</c:f>
              <c:strCache>
                <c:ptCount val="1"/>
                <c:pt idx="0">
                  <c:v>Novák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5"/>
          </c:pictureOptions>
          <c:cat>
            <c:strRef>
              <c:f>'Graf 5'!$A$3:$A$5</c:f>
              <c:strCache>
                <c:ptCount val="3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</c:strCache>
            </c:strRef>
          </c:cat>
          <c:val>
            <c:numRef>
              <c:f>'Graf 5'!$B$3:$B$5</c:f>
              <c:numCache>
                <c:formatCode>General</c:formatCode>
                <c:ptCount val="3"/>
                <c:pt idx="0">
                  <c:v>25</c:v>
                </c:pt>
                <c:pt idx="1">
                  <c:v>15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4-48D2-9AD9-4B48832BB662}"/>
            </c:ext>
          </c:extLst>
        </c:ser>
        <c:ser>
          <c:idx val="1"/>
          <c:order val="1"/>
          <c:tx>
            <c:strRef>
              <c:f>'Graf 5'!$C$2</c:f>
              <c:strCache>
                <c:ptCount val="1"/>
                <c:pt idx="0">
                  <c:v>Starý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5"/>
          </c:pictureOptions>
          <c:val>
            <c:numRef>
              <c:f>'Graf 5'!$C$3:$C$5</c:f>
              <c:numCache>
                <c:formatCode>General</c:formatCode>
                <c:ptCount val="3"/>
                <c:pt idx="0">
                  <c:v>20</c:v>
                </c:pt>
                <c:pt idx="1">
                  <c:v>15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E4-48D2-9AD9-4B48832BB662}"/>
            </c:ext>
          </c:extLst>
        </c:ser>
        <c:ser>
          <c:idx val="2"/>
          <c:order val="2"/>
          <c:tx>
            <c:strRef>
              <c:f>'Graf 5'!$D$2</c:f>
              <c:strCache>
                <c:ptCount val="1"/>
                <c:pt idx="0">
                  <c:v>Mladá</c:v>
                </c:pt>
              </c:strCache>
            </c:strRef>
          </c:tx>
          <c:spPr>
            <a:blipFill>
              <a:blip xmlns:r="http://schemas.openxmlformats.org/officeDocument/2006/relationships" r:embed="rId5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5"/>
          </c:pictureOptions>
          <c:val>
            <c:numRef>
              <c:f>'Graf 5'!$D$3:$D$5</c:f>
              <c:numCache>
                <c:formatCode>General</c:formatCode>
                <c:ptCount val="3"/>
                <c:pt idx="0">
                  <c:v>10</c:v>
                </c:pt>
                <c:pt idx="1">
                  <c:v>15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7E4-48D2-9AD9-4B48832BB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-26"/>
        <c:axId val="1843044480"/>
        <c:axId val="1843030336"/>
      </c:barChart>
      <c:catAx>
        <c:axId val="184304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843030336"/>
        <c:crosses val="autoZero"/>
        <c:auto val="1"/>
        <c:lblAlgn val="ctr"/>
        <c:lblOffset val="100"/>
        <c:noMultiLvlLbl val="0"/>
      </c:catAx>
      <c:valAx>
        <c:axId val="184303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84304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422528433945758"/>
          <c:y val="0.19522326064382139"/>
          <c:w val="0.31488276465441822"/>
          <c:h val="7.00939485368067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'Graf 5'!$D$21</c:f>
              <c:strCache>
                <c:ptCount val="1"/>
                <c:pt idx="0">
                  <c:v>březen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5"/>
          </c:pictureOptions>
          <c:cat>
            <c:strRef>
              <c:extLst>
                <c:ext xmlns:c15="http://schemas.microsoft.com/office/drawing/2012/chart" uri="{02D57815-91ED-43cb-92C2-25804820EDAC}">
                  <c15:fullRef>
                    <c15:sqref>'Graf 5'!$A$22:$A$24</c15:sqref>
                  </c15:fullRef>
                </c:ext>
              </c:extLst>
              <c:f>'Graf 5'!$A$22</c:f>
              <c:strCache>
                <c:ptCount val="1"/>
                <c:pt idx="0">
                  <c:v>Novák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5'!$D$22:$D$24</c15:sqref>
                  </c15:fullRef>
                </c:ext>
              </c:extLst>
              <c:f>'Graf 5'!$D$22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AC-4188-BDD1-04FA590CC491}"/>
            </c:ext>
          </c:extLst>
        </c:ser>
        <c:ser>
          <c:idx val="1"/>
          <c:order val="1"/>
          <c:tx>
            <c:strRef>
              <c:f>'Graf 5'!$C$21</c:f>
              <c:strCache>
                <c:ptCount val="1"/>
                <c:pt idx="0">
                  <c:v>únor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5"/>
          </c:pictureOptions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  <c:pictureStackUnit val="5"/>
            </c:pictureOptions>
            <c:extLst>
              <c:ext xmlns:c16="http://schemas.microsoft.com/office/drawing/2014/chart" uri="{C3380CC4-5D6E-409C-BE32-E72D297353CC}">
                <c16:uniqueId val="{00000001-95E9-457C-923A-F7D53F4D5361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'Graf 5'!$A$22:$A$24</c15:sqref>
                  </c15:fullRef>
                </c:ext>
              </c:extLst>
              <c:f>'Graf 5'!$A$22</c:f>
              <c:strCache>
                <c:ptCount val="1"/>
                <c:pt idx="0">
                  <c:v>Novák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5'!$C$22:$C$24</c15:sqref>
                  </c15:fullRef>
                </c:ext>
              </c:extLst>
              <c:f>'Graf 5'!$C$22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C-4188-BDD1-04FA590CC491}"/>
            </c:ext>
          </c:extLst>
        </c:ser>
        <c:ser>
          <c:idx val="0"/>
          <c:order val="2"/>
          <c:tx>
            <c:strRef>
              <c:f>'Graf 5'!$B$21</c:f>
              <c:strCache>
                <c:ptCount val="1"/>
                <c:pt idx="0">
                  <c:v>leden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5"/>
          </c:pictureOptions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  <c:pictureStackUnit val="5"/>
            </c:pictureOptions>
            <c:extLst>
              <c:ext xmlns:c16="http://schemas.microsoft.com/office/drawing/2014/chart" uri="{C3380CC4-5D6E-409C-BE32-E72D297353CC}">
                <c16:uniqueId val="{00000000-95E9-457C-923A-F7D53F4D5361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'Graf 5'!$A$22:$A$24</c15:sqref>
                  </c15:fullRef>
                </c:ext>
              </c:extLst>
              <c:f>'Graf 5'!$A$22</c:f>
              <c:strCache>
                <c:ptCount val="1"/>
                <c:pt idx="0">
                  <c:v>Novák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5'!$B$22:$B$24</c15:sqref>
                  </c15:fullRef>
                </c:ext>
              </c:extLst>
              <c:f>'Graf 5'!$B$22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C-4188-BDD1-04FA590C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61287456"/>
        <c:axId val="1661300768"/>
      </c:barChart>
      <c:catAx>
        <c:axId val="1661287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61300768"/>
        <c:crosses val="autoZero"/>
        <c:auto val="1"/>
        <c:lblAlgn val="ctr"/>
        <c:lblOffset val="100"/>
        <c:noMultiLvlLbl val="0"/>
      </c:catAx>
      <c:valAx>
        <c:axId val="1661300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6128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croll" dx="15" fmlaLink="$B$6" horiz="1" max="100" min="25" page="5" val="82"/>
</file>

<file path=xl/ctrlProps/ctrlProp2.xml><?xml version="1.0" encoding="utf-8"?>
<formControlPr xmlns="http://schemas.microsoft.com/office/spreadsheetml/2009/9/main" objectType="Scroll" dx="22" fmlaLink="$B$5" horiz="1" max="1000" page="10" val="202"/>
</file>

<file path=xl/ctrlProps/ctrlProp3.xml><?xml version="1.0" encoding="utf-8"?>
<formControlPr xmlns="http://schemas.microsoft.com/office/spreadsheetml/2009/9/main" objectType="Scroll" dx="22" fmlaLink="$B$7" horiz="1" max="100" page="10" val="37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tmp"/><Relationship Id="rId2" Type="http://schemas.openxmlformats.org/officeDocument/2006/relationships/image" Target="../media/image20.tmp"/><Relationship Id="rId1" Type="http://schemas.openxmlformats.org/officeDocument/2006/relationships/image" Target="../media/image19.tmp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tmp"/><Relationship Id="rId2" Type="http://schemas.openxmlformats.org/officeDocument/2006/relationships/image" Target="../media/image23.tmp"/><Relationship Id="rId1" Type="http://schemas.openxmlformats.org/officeDocument/2006/relationships/image" Target="../media/image22.tmp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tmp"/><Relationship Id="rId2" Type="http://schemas.openxmlformats.org/officeDocument/2006/relationships/image" Target="../media/image23.tmp"/><Relationship Id="rId1" Type="http://schemas.openxmlformats.org/officeDocument/2006/relationships/image" Target="../media/image22.tmp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tmp"/><Relationship Id="rId1" Type="http://schemas.openxmlformats.org/officeDocument/2006/relationships/image" Target="../media/image25.tmp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tmp"/><Relationship Id="rId1" Type="http://schemas.openxmlformats.org/officeDocument/2006/relationships/image" Target="../media/image25.tmp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tmp"/><Relationship Id="rId2" Type="http://schemas.openxmlformats.org/officeDocument/2006/relationships/image" Target="../media/image29.tmp"/><Relationship Id="rId1" Type="http://schemas.openxmlformats.org/officeDocument/2006/relationships/image" Target="../media/image28.tmp"/><Relationship Id="rId5" Type="http://schemas.openxmlformats.org/officeDocument/2006/relationships/image" Target="../media/image32.tmp"/><Relationship Id="rId4" Type="http://schemas.openxmlformats.org/officeDocument/2006/relationships/image" Target="../media/image31.tmp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4.png"/><Relationship Id="rId1" Type="http://schemas.openxmlformats.org/officeDocument/2006/relationships/image" Target="../media/image33.tmp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tmp"/><Relationship Id="rId2" Type="http://schemas.openxmlformats.org/officeDocument/2006/relationships/image" Target="../media/image36.tmp"/><Relationship Id="rId1" Type="http://schemas.openxmlformats.org/officeDocument/2006/relationships/image" Target="../media/image35.tmp"/><Relationship Id="rId4" Type="http://schemas.openxmlformats.org/officeDocument/2006/relationships/image" Target="../media/image38.tmp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tmp"/><Relationship Id="rId2" Type="http://schemas.openxmlformats.org/officeDocument/2006/relationships/image" Target="../media/image36.tmp"/><Relationship Id="rId1" Type="http://schemas.openxmlformats.org/officeDocument/2006/relationships/image" Target="../media/image35.tmp"/><Relationship Id="rId4" Type="http://schemas.openxmlformats.org/officeDocument/2006/relationships/image" Target="../media/image38.tmp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tmp"/><Relationship Id="rId2" Type="http://schemas.openxmlformats.org/officeDocument/2006/relationships/image" Target="../media/image40.tmp"/><Relationship Id="rId1" Type="http://schemas.openxmlformats.org/officeDocument/2006/relationships/image" Target="../media/image39.tmp"/><Relationship Id="rId6" Type="http://schemas.openxmlformats.org/officeDocument/2006/relationships/image" Target="../media/image44.tmp"/><Relationship Id="rId5" Type="http://schemas.openxmlformats.org/officeDocument/2006/relationships/image" Target="../media/image43.png"/><Relationship Id="rId4" Type="http://schemas.openxmlformats.org/officeDocument/2006/relationships/image" Target="../media/image4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tmp"/><Relationship Id="rId2" Type="http://schemas.openxmlformats.org/officeDocument/2006/relationships/image" Target="../media/image47.tmp"/><Relationship Id="rId1" Type="http://schemas.openxmlformats.org/officeDocument/2006/relationships/image" Target="../media/image46.tmp"/><Relationship Id="rId4" Type="http://schemas.openxmlformats.org/officeDocument/2006/relationships/image" Target="../media/image49.tmp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tmp"/><Relationship Id="rId2" Type="http://schemas.openxmlformats.org/officeDocument/2006/relationships/image" Target="../media/image51.tmp"/><Relationship Id="rId1" Type="http://schemas.openxmlformats.org/officeDocument/2006/relationships/image" Target="../media/image50.png"/><Relationship Id="rId6" Type="http://schemas.openxmlformats.org/officeDocument/2006/relationships/image" Target="../media/image55.tmp"/><Relationship Id="rId5" Type="http://schemas.openxmlformats.org/officeDocument/2006/relationships/image" Target="../media/image54.tmp"/><Relationship Id="rId4" Type="http://schemas.openxmlformats.org/officeDocument/2006/relationships/image" Target="../media/image53.tmp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7.tmp"/><Relationship Id="rId1" Type="http://schemas.openxmlformats.org/officeDocument/2006/relationships/image" Target="../media/image56.tmp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9.tmp"/><Relationship Id="rId1" Type="http://schemas.openxmlformats.org/officeDocument/2006/relationships/image" Target="../media/image58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tmp"/><Relationship Id="rId2" Type="http://schemas.openxmlformats.org/officeDocument/2006/relationships/image" Target="../media/image61.tmp"/><Relationship Id="rId1" Type="http://schemas.openxmlformats.org/officeDocument/2006/relationships/image" Target="../media/image60.tmp"/><Relationship Id="rId4" Type="http://schemas.openxmlformats.org/officeDocument/2006/relationships/image" Target="../media/image63.tmp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6.tmp"/><Relationship Id="rId2" Type="http://schemas.openxmlformats.org/officeDocument/2006/relationships/image" Target="../media/image65.tmp"/><Relationship Id="rId1" Type="http://schemas.openxmlformats.org/officeDocument/2006/relationships/image" Target="../media/image64.tmp"/><Relationship Id="rId5" Type="http://schemas.openxmlformats.org/officeDocument/2006/relationships/image" Target="../media/image68.tmp"/><Relationship Id="rId4" Type="http://schemas.openxmlformats.org/officeDocument/2006/relationships/image" Target="../media/image67.tmp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69.tmp"/><Relationship Id="rId1" Type="http://schemas.openxmlformats.org/officeDocument/2006/relationships/chart" Target="../charts/chart2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mp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tmp"/><Relationship Id="rId2" Type="http://schemas.openxmlformats.org/officeDocument/2006/relationships/image" Target="../media/image71.tmp"/><Relationship Id="rId1" Type="http://schemas.openxmlformats.org/officeDocument/2006/relationships/image" Target="../media/image70.tmp"/><Relationship Id="rId4" Type="http://schemas.openxmlformats.org/officeDocument/2006/relationships/image" Target="../media/image73.tmp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4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7.tmp"/><Relationship Id="rId2" Type="http://schemas.openxmlformats.org/officeDocument/2006/relationships/image" Target="../media/image76.tmp"/><Relationship Id="rId1" Type="http://schemas.openxmlformats.org/officeDocument/2006/relationships/image" Target="../media/image75.tmp"/><Relationship Id="rId5" Type="http://schemas.openxmlformats.org/officeDocument/2006/relationships/image" Target="../media/image79.tmp"/><Relationship Id="rId4" Type="http://schemas.openxmlformats.org/officeDocument/2006/relationships/image" Target="../media/image78.tmp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7.tmp"/><Relationship Id="rId7" Type="http://schemas.openxmlformats.org/officeDocument/2006/relationships/chart" Target="../charts/chart7.xml"/><Relationship Id="rId2" Type="http://schemas.openxmlformats.org/officeDocument/2006/relationships/image" Target="../media/image76.tmp"/><Relationship Id="rId1" Type="http://schemas.openxmlformats.org/officeDocument/2006/relationships/image" Target="../media/image75.tmp"/><Relationship Id="rId6" Type="http://schemas.openxmlformats.org/officeDocument/2006/relationships/chart" Target="../charts/chart6.xml"/><Relationship Id="rId5" Type="http://schemas.openxmlformats.org/officeDocument/2006/relationships/image" Target="../media/image79.tmp"/><Relationship Id="rId4" Type="http://schemas.openxmlformats.org/officeDocument/2006/relationships/image" Target="../media/image78.tmp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6.tmp"/><Relationship Id="rId2" Type="http://schemas.openxmlformats.org/officeDocument/2006/relationships/image" Target="../media/image85.tmp"/><Relationship Id="rId1" Type="http://schemas.openxmlformats.org/officeDocument/2006/relationships/image" Target="../media/image84.tmp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8.tmp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8.tmp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tmp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5" Type="http://schemas.openxmlformats.org/officeDocument/2006/relationships/image" Target="../media/image8.png"/><Relationship Id="rId4" Type="http://schemas.openxmlformats.org/officeDocument/2006/relationships/image" Target="../media/image7.tmp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0.tmp"/><Relationship Id="rId1" Type="http://schemas.openxmlformats.org/officeDocument/2006/relationships/image" Target="../media/image89.tmp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tmp"/><Relationship Id="rId2" Type="http://schemas.openxmlformats.org/officeDocument/2006/relationships/image" Target="../media/image92.tmp"/><Relationship Id="rId1" Type="http://schemas.openxmlformats.org/officeDocument/2006/relationships/image" Target="../media/image91.tmp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tmp"/><Relationship Id="rId2" Type="http://schemas.openxmlformats.org/officeDocument/2006/relationships/image" Target="../media/image92.tmp"/><Relationship Id="rId1" Type="http://schemas.openxmlformats.org/officeDocument/2006/relationships/image" Target="../media/image91.tmp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6.tmp"/><Relationship Id="rId2" Type="http://schemas.openxmlformats.org/officeDocument/2006/relationships/image" Target="../media/image95.tmp"/><Relationship Id="rId1" Type="http://schemas.openxmlformats.org/officeDocument/2006/relationships/image" Target="../media/image94.tmp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6.tmp"/><Relationship Id="rId2" Type="http://schemas.openxmlformats.org/officeDocument/2006/relationships/image" Target="../media/image95.tmp"/><Relationship Id="rId1" Type="http://schemas.openxmlformats.org/officeDocument/2006/relationships/image" Target="../media/image94.tmp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8.tmp"/><Relationship Id="rId1" Type="http://schemas.openxmlformats.org/officeDocument/2006/relationships/image" Target="../media/image97.tmp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1.png"/><Relationship Id="rId2" Type="http://schemas.openxmlformats.org/officeDocument/2006/relationships/image" Target="../media/image100.tmp"/><Relationship Id="rId1" Type="http://schemas.openxmlformats.org/officeDocument/2006/relationships/image" Target="../media/image99.tmp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4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4.tmp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tmp"/><Relationship Id="rId2" Type="http://schemas.openxmlformats.org/officeDocument/2006/relationships/image" Target="../media/image10.tmp"/><Relationship Id="rId1" Type="http://schemas.openxmlformats.org/officeDocument/2006/relationships/image" Target="../media/image9.tmp"/><Relationship Id="rId6" Type="http://schemas.openxmlformats.org/officeDocument/2006/relationships/image" Target="../media/image14.tmp"/><Relationship Id="rId5" Type="http://schemas.openxmlformats.org/officeDocument/2006/relationships/image" Target="../media/image13.tmp"/><Relationship Id="rId4" Type="http://schemas.openxmlformats.org/officeDocument/2006/relationships/image" Target="../media/image12.tmp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tmp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tmp"/><Relationship Id="rId1" Type="http://schemas.openxmlformats.org/officeDocument/2006/relationships/image" Target="../media/image17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134219</xdr:colOff>
      <xdr:row>18</xdr:row>
      <xdr:rowOff>19186</xdr:rowOff>
    </xdr:to>
    <xdr:grpSp>
      <xdr:nvGrpSpPr>
        <xdr:cNvPr id="4" name="Skupina 3"/>
        <xdr:cNvGrpSpPr/>
      </xdr:nvGrpSpPr>
      <xdr:grpSpPr>
        <a:xfrm>
          <a:off x="0" y="365760"/>
          <a:ext cx="6230219" cy="2945266"/>
          <a:chOff x="0" y="381000"/>
          <a:chExt cx="6230219" cy="3067186"/>
        </a:xfrm>
      </xdr:grpSpPr>
      <xdr:pic>
        <xdr:nvPicPr>
          <xdr:cNvPr id="2" name="Obrázek 1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1000"/>
            <a:ext cx="6230219" cy="1895740"/>
          </a:xfrm>
          <a:prstGeom prst="rect">
            <a:avLst/>
          </a:prstGeom>
        </xdr:spPr>
      </xdr:pic>
      <xdr:pic>
        <xdr:nvPicPr>
          <xdr:cNvPr id="3" name="Obrázek 2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76500"/>
            <a:ext cx="6144482" cy="971686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9</xdr:col>
      <xdr:colOff>439022</xdr:colOff>
      <xdr:row>18</xdr:row>
      <xdr:rowOff>28792</xdr:rowOff>
    </xdr:to>
    <xdr:grpSp>
      <xdr:nvGrpSpPr>
        <xdr:cNvPr id="5" name="Skupina 4"/>
        <xdr:cNvGrpSpPr/>
      </xdr:nvGrpSpPr>
      <xdr:grpSpPr>
        <a:xfrm>
          <a:off x="0" y="365760"/>
          <a:ext cx="6382622" cy="2954872"/>
          <a:chOff x="0" y="381000"/>
          <a:chExt cx="6249272" cy="3076792"/>
        </a:xfrm>
      </xdr:grpSpPr>
      <xdr:pic>
        <xdr:nvPicPr>
          <xdr:cNvPr id="2" name="Obrázek 1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1000"/>
            <a:ext cx="6011114" cy="571580"/>
          </a:xfrm>
          <a:prstGeom prst="rect">
            <a:avLst/>
          </a:prstGeom>
        </xdr:spPr>
      </xdr:pic>
      <xdr:pic>
        <xdr:nvPicPr>
          <xdr:cNvPr id="3" name="Obrázek 2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71550"/>
            <a:ext cx="6020640" cy="743054"/>
          </a:xfrm>
          <a:prstGeom prst="rect">
            <a:avLst/>
          </a:prstGeom>
        </xdr:spPr>
      </xdr:pic>
      <xdr:pic>
        <xdr:nvPicPr>
          <xdr:cNvPr id="4" name="Obrázek 3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5000"/>
            <a:ext cx="6249272" cy="1552792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9525</xdr:rowOff>
    </xdr:from>
    <xdr:to>
      <xdr:col>10</xdr:col>
      <xdr:colOff>477139</xdr:colOff>
      <xdr:row>71</xdr:row>
      <xdr:rowOff>9977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44150"/>
          <a:ext cx="6373114" cy="32389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10</xdr:col>
      <xdr:colOff>600963</xdr:colOff>
      <xdr:row>28</xdr:row>
      <xdr:rowOff>133555</xdr:rowOff>
    </xdr:to>
    <xdr:pic>
      <xdr:nvPicPr>
        <xdr:cNvPr id="5" name="Obrázek 4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4048125"/>
          <a:ext cx="6363588" cy="14670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10</xdr:col>
      <xdr:colOff>324700</xdr:colOff>
      <xdr:row>36</xdr:row>
      <xdr:rowOff>47818</xdr:rowOff>
    </xdr:to>
    <xdr:pic>
      <xdr:nvPicPr>
        <xdr:cNvPr id="6" name="Obrázek 5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572125"/>
          <a:ext cx="6087325" cy="13813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9525</xdr:rowOff>
    </xdr:from>
    <xdr:to>
      <xdr:col>10</xdr:col>
      <xdr:colOff>477139</xdr:colOff>
      <xdr:row>71</xdr:row>
      <xdr:rowOff>9977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44150"/>
          <a:ext cx="6373114" cy="32389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10</xdr:col>
      <xdr:colOff>600963</xdr:colOff>
      <xdr:row>28</xdr:row>
      <xdr:rowOff>133555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4048125"/>
          <a:ext cx="6363588" cy="14670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10</xdr:col>
      <xdr:colOff>324700</xdr:colOff>
      <xdr:row>36</xdr:row>
      <xdr:rowOff>47818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572125"/>
          <a:ext cx="6087325" cy="138131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20</xdr:row>
      <xdr:rowOff>152400</xdr:rowOff>
    </xdr:from>
    <xdr:to>
      <xdr:col>10</xdr:col>
      <xdr:colOff>486651</xdr:colOff>
      <xdr:row>36</xdr:row>
      <xdr:rowOff>152825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010025"/>
          <a:ext cx="6277851" cy="3048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190499</xdr:rowOff>
    </xdr:from>
    <xdr:to>
      <xdr:col>11</xdr:col>
      <xdr:colOff>180975</xdr:colOff>
      <xdr:row>55</xdr:row>
      <xdr:rowOff>28230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7286624"/>
          <a:ext cx="6553200" cy="326673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20</xdr:row>
      <xdr:rowOff>152400</xdr:rowOff>
    </xdr:from>
    <xdr:to>
      <xdr:col>10</xdr:col>
      <xdr:colOff>486651</xdr:colOff>
      <xdr:row>36</xdr:row>
      <xdr:rowOff>152825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010025"/>
          <a:ext cx="6277851" cy="3048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190499</xdr:rowOff>
    </xdr:from>
    <xdr:to>
      <xdr:col>11</xdr:col>
      <xdr:colOff>180975</xdr:colOff>
      <xdr:row>55</xdr:row>
      <xdr:rowOff>28230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7286624"/>
          <a:ext cx="6553200" cy="326673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190500</xdr:rowOff>
    </xdr:from>
    <xdr:to>
      <xdr:col>16</xdr:col>
      <xdr:colOff>248537</xdr:colOff>
      <xdr:row>4</xdr:row>
      <xdr:rowOff>133571</xdr:rowOff>
    </xdr:to>
    <xdr:pic>
      <xdr:nvPicPr>
        <xdr:cNvPr id="2" name="Obrázek 1" descr="Výřez obrazovky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14825" y="190500"/>
          <a:ext cx="6354062" cy="96224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18</xdr:col>
      <xdr:colOff>410228</xdr:colOff>
      <xdr:row>10</xdr:row>
      <xdr:rowOff>133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952500"/>
          <a:ext cx="4677428" cy="952633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14</xdr:row>
      <xdr:rowOff>0</xdr:rowOff>
    </xdr:from>
    <xdr:to>
      <xdr:col>8</xdr:col>
      <xdr:colOff>1362605</xdr:colOff>
      <xdr:row>16</xdr:row>
      <xdr:rowOff>76264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5" y="2667000"/>
          <a:ext cx="3801005" cy="45726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9</xdr:col>
      <xdr:colOff>29265</xdr:colOff>
      <xdr:row>28</xdr:row>
      <xdr:rowOff>38398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3238500"/>
          <a:ext cx="4944165" cy="213389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8</xdr:col>
      <xdr:colOff>2410504</xdr:colOff>
      <xdr:row>38</xdr:row>
      <xdr:rowOff>47951</xdr:rowOff>
    </xdr:to>
    <xdr:pic>
      <xdr:nvPicPr>
        <xdr:cNvPr id="5" name="Obrázek 4" descr="Výřez obrazovky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5524500"/>
          <a:ext cx="4867954" cy="233395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5</xdr:col>
      <xdr:colOff>629324</xdr:colOff>
      <xdr:row>44</xdr:row>
      <xdr:rowOff>76516</xdr:rowOff>
    </xdr:to>
    <xdr:pic>
      <xdr:nvPicPr>
        <xdr:cNvPr id="6" name="Obrázek 5" descr="Výřez obrazovky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286500"/>
          <a:ext cx="4829849" cy="226726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1313718</xdr:colOff>
      <xdr:row>21</xdr:row>
      <xdr:rowOff>70338</xdr:rowOff>
    </xdr:from>
    <xdr:to>
      <xdr:col>5</xdr:col>
      <xdr:colOff>649657</xdr:colOff>
      <xdr:row>28</xdr:row>
      <xdr:rowOff>13366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2518" y="4642338"/>
          <a:ext cx="3517414" cy="1276528"/>
        </a:xfrm>
        <a:prstGeom prst="rect">
          <a:avLst/>
        </a:prstGeom>
      </xdr:spPr>
    </xdr:pic>
    <xdr:clientData/>
  </xdr:twoCellAnchor>
  <xdr:twoCellAnchor editAs="oneCell">
    <xdr:from>
      <xdr:col>0</xdr:col>
      <xdr:colOff>564174</xdr:colOff>
      <xdr:row>41</xdr:row>
      <xdr:rowOff>183173</xdr:rowOff>
    </xdr:from>
    <xdr:to>
      <xdr:col>4</xdr:col>
      <xdr:colOff>1157654</xdr:colOff>
      <xdr:row>49</xdr:row>
      <xdr:rowOff>176989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4174" y="9679598"/>
          <a:ext cx="3765305" cy="151781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8</xdr:row>
      <xdr:rowOff>180975</xdr:rowOff>
    </xdr:from>
    <xdr:to>
      <xdr:col>9</xdr:col>
      <xdr:colOff>58029</xdr:colOff>
      <xdr:row>13</xdr:row>
      <xdr:rowOff>171582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1724025"/>
          <a:ext cx="6296904" cy="943107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13</xdr:row>
      <xdr:rowOff>180975</xdr:rowOff>
    </xdr:from>
    <xdr:to>
      <xdr:col>8</xdr:col>
      <xdr:colOff>515207</xdr:colOff>
      <xdr:row>19</xdr:row>
      <xdr:rowOff>134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2676525"/>
          <a:ext cx="6144482" cy="962159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18</xdr:row>
      <xdr:rowOff>180975</xdr:rowOff>
    </xdr:from>
    <xdr:to>
      <xdr:col>9</xdr:col>
      <xdr:colOff>219978</xdr:colOff>
      <xdr:row>28</xdr:row>
      <xdr:rowOff>181241</xdr:rowOff>
    </xdr:to>
    <xdr:pic>
      <xdr:nvPicPr>
        <xdr:cNvPr id="5" name="Obrázek 4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3629025"/>
          <a:ext cx="6468378" cy="19052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8</xdr:col>
      <xdr:colOff>334191</xdr:colOff>
      <xdr:row>55</xdr:row>
      <xdr:rowOff>162134</xdr:rowOff>
    </xdr:to>
    <xdr:pic>
      <xdr:nvPicPr>
        <xdr:cNvPr id="6" name="Obrázek 5" descr="Výřez obrazovky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9144000"/>
          <a:ext cx="5849166" cy="1495634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171449</xdr:rowOff>
    </xdr:from>
    <xdr:to>
      <xdr:col>17</xdr:col>
      <xdr:colOff>257175</xdr:colOff>
      <xdr:row>10</xdr:row>
      <xdr:rowOff>180974</xdr:rowOff>
    </xdr:to>
    <xdr:sp macro="" textlink="">
      <xdr:nvSpPr>
        <xdr:cNvPr id="2" name="TextovéPole 1"/>
        <xdr:cNvSpPr txBox="1"/>
      </xdr:nvSpPr>
      <xdr:spPr>
        <a:xfrm>
          <a:off x="6734175" y="171449"/>
          <a:ext cx="5133975" cy="1933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/>
            <a:t>Popis</a:t>
          </a:r>
          <a:r>
            <a:rPr lang="cs-CZ" sz="1100" b="1" baseline="0"/>
            <a:t> příkladu:</a:t>
          </a:r>
        </a:p>
        <a:p>
          <a:r>
            <a:rPr lang="cs-CZ" sz="1100" b="0" baseline="0"/>
            <a:t>- V buňce </a:t>
          </a:r>
          <a:r>
            <a:rPr lang="cs-CZ" sz="1100" b="1" baseline="0"/>
            <a:t>B8</a:t>
          </a:r>
          <a:r>
            <a:rPr lang="cs-CZ" sz="1100" b="0" baseline="0"/>
            <a:t> je výroba za měsíc leden, v buňce </a:t>
          </a:r>
          <a:r>
            <a:rPr lang="cs-CZ" sz="1100" b="1" baseline="0"/>
            <a:t>C8 </a:t>
          </a:r>
          <a:r>
            <a:rPr lang="cs-CZ" sz="1100" b="0" baseline="0"/>
            <a:t>výroba za měsíc únor a v buňce </a:t>
          </a:r>
          <a:r>
            <a:rPr lang="cs-CZ" sz="1100" b="1" baseline="0"/>
            <a:t>D8</a:t>
          </a:r>
          <a:r>
            <a:rPr lang="cs-CZ" sz="1100" b="0" baseline="0"/>
            <a:t> součet výroby za oba dva měsíce.</a:t>
          </a:r>
        </a:p>
        <a:p>
          <a:r>
            <a:rPr lang="cs-CZ" sz="1100" b="0" baseline="0"/>
            <a:t>- V buňce </a:t>
          </a:r>
          <a:r>
            <a:rPr lang="cs-CZ" sz="1100" b="1" baseline="0"/>
            <a:t>F8 </a:t>
          </a:r>
          <a:r>
            <a:rPr lang="cs-CZ" sz="1100" b="0" baseline="0"/>
            <a:t>je pomocí funkce </a:t>
          </a:r>
          <a:r>
            <a:rPr lang="cs-CZ" sz="1100" b="1" baseline="0"/>
            <a:t>A</a:t>
          </a:r>
          <a:r>
            <a:rPr lang="cs-CZ" sz="1100" b="0" baseline="0"/>
            <a:t> zjišťováno, zda je výroba v obou měsících zároveň vyšší než 10000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(C2).</a:t>
          </a:r>
          <a:endParaRPr lang="cs-CZ" sz="1100" b="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0" baseline="0"/>
            <a:t>- 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buňce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G8 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 pomocí funkce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NEBO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zjišťováno, zda je výroba alespoň v jednom z měsíců vyšší než 10000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(C2).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 buňce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H8 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pomocí funkce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KDYŽ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zobrazuje jeden z textů "Plán splněn" nebo "Plán nesplněn" podle toho, zda je součet za oba měsíce v buňce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D8 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vyšší anebo roven hodnotě plánu v buňce 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G5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cs-CZ" b="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>
            <a:effectLst/>
          </a:endParaRPr>
        </a:p>
        <a:p>
          <a:endParaRPr lang="cs-CZ" b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8</xdr:row>
      <xdr:rowOff>180975</xdr:rowOff>
    </xdr:from>
    <xdr:to>
      <xdr:col>9</xdr:col>
      <xdr:colOff>58029</xdr:colOff>
      <xdr:row>13</xdr:row>
      <xdr:rowOff>171582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1724025"/>
          <a:ext cx="6296904" cy="943107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13</xdr:row>
      <xdr:rowOff>180975</xdr:rowOff>
    </xdr:from>
    <xdr:to>
      <xdr:col>8</xdr:col>
      <xdr:colOff>515207</xdr:colOff>
      <xdr:row>19</xdr:row>
      <xdr:rowOff>134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2676525"/>
          <a:ext cx="6144482" cy="962159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18</xdr:row>
      <xdr:rowOff>180975</xdr:rowOff>
    </xdr:from>
    <xdr:to>
      <xdr:col>9</xdr:col>
      <xdr:colOff>219978</xdr:colOff>
      <xdr:row>28</xdr:row>
      <xdr:rowOff>181241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3629025"/>
          <a:ext cx="6468378" cy="19052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8</xdr:col>
      <xdr:colOff>334191</xdr:colOff>
      <xdr:row>55</xdr:row>
      <xdr:rowOff>162134</xdr:rowOff>
    </xdr:to>
    <xdr:pic>
      <xdr:nvPicPr>
        <xdr:cNvPr id="5" name="Obrázek 4" descr="Výřez obrazovky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9163050"/>
          <a:ext cx="5849166" cy="1495634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171449</xdr:rowOff>
    </xdr:from>
    <xdr:to>
      <xdr:col>17</xdr:col>
      <xdr:colOff>257175</xdr:colOff>
      <xdr:row>12</xdr:row>
      <xdr:rowOff>152400</xdr:rowOff>
    </xdr:to>
    <xdr:sp macro="" textlink="">
      <xdr:nvSpPr>
        <xdr:cNvPr id="6" name="TextovéPole 5"/>
        <xdr:cNvSpPr txBox="1"/>
      </xdr:nvSpPr>
      <xdr:spPr>
        <a:xfrm>
          <a:off x="6734175" y="171449"/>
          <a:ext cx="5133975" cy="22860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/>
            <a:t>Popis</a:t>
          </a:r>
          <a:r>
            <a:rPr lang="cs-CZ" sz="1100" b="1" baseline="0"/>
            <a:t> příkladu:</a:t>
          </a:r>
        </a:p>
        <a:p>
          <a:r>
            <a:rPr lang="cs-CZ" sz="1100" b="0" baseline="0"/>
            <a:t>- V buňce </a:t>
          </a:r>
          <a:r>
            <a:rPr lang="cs-CZ" sz="1100" b="1" baseline="0"/>
            <a:t>B8</a:t>
          </a:r>
          <a:r>
            <a:rPr lang="cs-CZ" sz="1100" b="0" baseline="0"/>
            <a:t> je výroba za měsíc leden, v buňce </a:t>
          </a:r>
          <a:r>
            <a:rPr lang="cs-CZ" sz="1100" b="1" baseline="0"/>
            <a:t>C8 </a:t>
          </a:r>
          <a:r>
            <a:rPr lang="cs-CZ" sz="1100" b="0" baseline="0"/>
            <a:t>výroba za měsíc únor a v buňce </a:t>
          </a:r>
          <a:r>
            <a:rPr lang="cs-CZ" sz="1100" b="1" baseline="0"/>
            <a:t>D8</a:t>
          </a:r>
          <a:r>
            <a:rPr lang="cs-CZ" sz="1100" b="0" baseline="0"/>
            <a:t> součet výroby za oba dva měsíce.</a:t>
          </a:r>
        </a:p>
        <a:p>
          <a:r>
            <a:rPr lang="cs-CZ" sz="1100" b="0" baseline="0"/>
            <a:t>- V buňce </a:t>
          </a:r>
          <a:r>
            <a:rPr lang="cs-CZ" sz="1100" b="1" baseline="0"/>
            <a:t>E8 </a:t>
          </a:r>
          <a:r>
            <a:rPr lang="cs-CZ" sz="1100" b="0" baseline="0"/>
            <a:t>je pomocí funkce </a:t>
          </a:r>
          <a:r>
            <a:rPr lang="cs-CZ" sz="1100" b="1" baseline="0"/>
            <a:t>A</a:t>
          </a:r>
          <a:r>
            <a:rPr lang="cs-CZ" sz="1100" b="0" baseline="0"/>
            <a:t> zjišťováno, zda je výroba v obou měsících zároveň vyšší než 10000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(C2).</a:t>
          </a:r>
          <a:endParaRPr lang="cs-CZ" sz="1100" b="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0" baseline="0"/>
            <a:t>- 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buňce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F8 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 pomocí funkce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NEBO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zjišťováno, zda je výroba alespoň v jednom z měsíců vyšší než 10000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(C2).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 buňce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G8 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pomocí funkce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KDYŽ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zobrazuje jeden z textů "Plán splněn" nebo "Plán nesplněn" podle toho, zda je součet za oba měsíce v buňce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D8 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vyšší anebo roven hodnotě plánu v buňce 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G2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Hodnoty v buňkách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C2 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G2 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jsou pojmenovány. Využijte názvy! (Plán, Hranice)</a:t>
          </a:r>
          <a:endParaRPr lang="cs-CZ" b="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>
            <a:effectLst/>
          </a:endParaRPr>
        </a:p>
        <a:p>
          <a:endParaRPr lang="cs-CZ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22860</xdr:rowOff>
        </xdr:from>
        <xdr:to>
          <xdr:col>4</xdr:col>
          <xdr:colOff>22860</xdr:colOff>
          <xdr:row>6</xdr:row>
          <xdr:rowOff>7620</xdr:rowOff>
        </xdr:to>
        <xdr:sp macro="" textlink="">
          <xdr:nvSpPr>
            <xdr:cNvPr id="60417" name="Scroll Bar 1" hidden="1">
              <a:extLst>
                <a:ext uri="{63B3BB69-23CF-44E3-9099-C40C66FF867C}">
                  <a14:compatExt spid="_x0000_s60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4</xdr:col>
          <xdr:colOff>7620</xdr:colOff>
          <xdr:row>5</xdr:row>
          <xdr:rowOff>22860</xdr:rowOff>
        </xdr:to>
        <xdr:sp macro="" textlink="">
          <xdr:nvSpPr>
            <xdr:cNvPr id="60418" name="Scroll Bar 2" hidden="1">
              <a:extLst>
                <a:ext uri="{63B3BB69-23CF-44E3-9099-C40C66FF867C}">
                  <a14:compatExt spid="_x0000_s60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</xdr:row>
          <xdr:rowOff>0</xdr:rowOff>
        </xdr:from>
        <xdr:to>
          <xdr:col>4</xdr:col>
          <xdr:colOff>30480</xdr:colOff>
          <xdr:row>7</xdr:row>
          <xdr:rowOff>0</xdr:rowOff>
        </xdr:to>
        <xdr:sp macro="" textlink="">
          <xdr:nvSpPr>
            <xdr:cNvPr id="60419" name="Scroll Bar 3" hidden="1">
              <a:extLst>
                <a:ext uri="{63B3BB69-23CF-44E3-9099-C40C66FF867C}">
                  <a14:compatExt spid="_x0000_s60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95250</xdr:rowOff>
    </xdr:from>
    <xdr:to>
      <xdr:col>6</xdr:col>
      <xdr:colOff>1191445</xdr:colOff>
      <xdr:row>61</xdr:row>
      <xdr:rowOff>76516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429750"/>
          <a:ext cx="5877745" cy="226726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14</xdr:col>
      <xdr:colOff>105611</xdr:colOff>
      <xdr:row>17</xdr:row>
      <xdr:rowOff>76317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2476500"/>
          <a:ext cx="5992061" cy="83831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14</xdr:col>
      <xdr:colOff>572401</xdr:colOff>
      <xdr:row>23</xdr:row>
      <xdr:rowOff>104923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3429000"/>
          <a:ext cx="6458851" cy="1057423"/>
        </a:xfrm>
        <a:prstGeom prst="rect">
          <a:avLst/>
        </a:prstGeom>
      </xdr:spPr>
    </xdr:pic>
    <xdr:clientData/>
  </xdr:twoCellAnchor>
  <xdr:twoCellAnchor>
    <xdr:from>
      <xdr:col>5</xdr:col>
      <xdr:colOff>600075</xdr:colOff>
      <xdr:row>24</xdr:row>
      <xdr:rowOff>0</xdr:rowOff>
    </xdr:from>
    <xdr:to>
      <xdr:col>14</xdr:col>
      <xdr:colOff>515243</xdr:colOff>
      <xdr:row>32</xdr:row>
      <xdr:rowOff>105313</xdr:rowOff>
    </xdr:to>
    <xdr:grpSp>
      <xdr:nvGrpSpPr>
        <xdr:cNvPr id="7" name="Skupina 6"/>
        <xdr:cNvGrpSpPr/>
      </xdr:nvGrpSpPr>
      <xdr:grpSpPr>
        <a:xfrm>
          <a:off x="4760595" y="4389120"/>
          <a:ext cx="6498848" cy="1568353"/>
          <a:chOff x="4676775" y="4572000"/>
          <a:chExt cx="6411218" cy="1629313"/>
        </a:xfrm>
      </xdr:grpSpPr>
      <xdr:pic>
        <xdr:nvPicPr>
          <xdr:cNvPr id="5" name="Obrázek 4" descr="Výřez obrazovky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686300" y="4572000"/>
            <a:ext cx="6401693" cy="695325"/>
          </a:xfrm>
          <a:prstGeom prst="rect">
            <a:avLst/>
          </a:prstGeom>
        </xdr:spPr>
      </xdr:pic>
      <xdr:pic>
        <xdr:nvPicPr>
          <xdr:cNvPr id="6" name="Obrázek 5" descr="Výřez obrazovky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676775" y="5276850"/>
            <a:ext cx="6401693" cy="924463"/>
          </a:xfrm>
          <a:prstGeom prst="rect">
            <a:avLst/>
          </a:prstGeom>
        </xdr:spPr>
      </xdr:pic>
    </xdr:grpSp>
    <xdr:clientData/>
  </xdr:twoCellAnchor>
  <xdr:twoCellAnchor editAs="oneCell">
    <xdr:from>
      <xdr:col>6</xdr:col>
      <xdr:colOff>0</xdr:colOff>
      <xdr:row>33</xdr:row>
      <xdr:rowOff>0</xdr:rowOff>
    </xdr:from>
    <xdr:to>
      <xdr:col>13</xdr:col>
      <xdr:colOff>324632</xdr:colOff>
      <xdr:row>36</xdr:row>
      <xdr:rowOff>38185</xdr:rowOff>
    </xdr:to>
    <xdr:pic>
      <xdr:nvPicPr>
        <xdr:cNvPr id="8" name="Obrázek 7" descr="Výřez obrazovky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6286500"/>
          <a:ext cx="5601482" cy="60968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1</xdr:row>
      <xdr:rowOff>142875</xdr:rowOff>
    </xdr:from>
    <xdr:to>
      <xdr:col>16</xdr:col>
      <xdr:colOff>208986</xdr:colOff>
      <xdr:row>10</xdr:row>
      <xdr:rowOff>133137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0" y="333375"/>
          <a:ext cx="4514286" cy="170476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34</xdr:row>
      <xdr:rowOff>152400</xdr:rowOff>
    </xdr:from>
    <xdr:to>
      <xdr:col>8</xdr:col>
      <xdr:colOff>181882</xdr:colOff>
      <xdr:row>45</xdr:row>
      <xdr:rowOff>152692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6705600"/>
          <a:ext cx="6496957" cy="20957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8</xdr:col>
      <xdr:colOff>191381</xdr:colOff>
      <xdr:row>12</xdr:row>
      <xdr:rowOff>160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219200"/>
          <a:ext cx="6315956" cy="1143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8</xdr:col>
      <xdr:colOff>200908</xdr:colOff>
      <xdr:row>18</xdr:row>
      <xdr:rowOff>181133</xdr:rowOff>
    </xdr:to>
    <xdr:pic>
      <xdr:nvPicPr>
        <xdr:cNvPr id="5" name="Obrázek 4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552700"/>
          <a:ext cx="6325483" cy="11336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8</xdr:col>
      <xdr:colOff>124697</xdr:colOff>
      <xdr:row>23</xdr:row>
      <xdr:rowOff>95343</xdr:rowOff>
    </xdr:to>
    <xdr:pic>
      <xdr:nvPicPr>
        <xdr:cNvPr id="6" name="Obrázek 5" descr="Výřez obrazovky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86200"/>
          <a:ext cx="6249272" cy="6668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53</xdr:row>
      <xdr:rowOff>161924</xdr:rowOff>
    </xdr:from>
    <xdr:to>
      <xdr:col>0</xdr:col>
      <xdr:colOff>1392090</xdr:colOff>
      <xdr:row>55</xdr:row>
      <xdr:rowOff>171449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10258424"/>
          <a:ext cx="1353991" cy="39052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</xdr:row>
      <xdr:rowOff>152400</xdr:rowOff>
    </xdr:from>
    <xdr:to>
      <xdr:col>6</xdr:col>
      <xdr:colOff>458052</xdr:colOff>
      <xdr:row>24</xdr:row>
      <xdr:rowOff>66876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257550"/>
          <a:ext cx="6106377" cy="1438476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25</xdr:row>
      <xdr:rowOff>19050</xdr:rowOff>
    </xdr:from>
    <xdr:to>
      <xdr:col>6</xdr:col>
      <xdr:colOff>429443</xdr:colOff>
      <xdr:row>32</xdr:row>
      <xdr:rowOff>66726</xdr:rowOff>
    </xdr:to>
    <xdr:grpSp>
      <xdr:nvGrpSpPr>
        <xdr:cNvPr id="3" name="Skupina 2"/>
        <xdr:cNvGrpSpPr/>
      </xdr:nvGrpSpPr>
      <xdr:grpSpPr>
        <a:xfrm>
          <a:off x="28575" y="4659630"/>
          <a:ext cx="6230168" cy="1327836"/>
          <a:chOff x="0" y="2857500"/>
          <a:chExt cx="6115868" cy="1381176"/>
        </a:xfrm>
      </xdr:grpSpPr>
      <xdr:pic>
        <xdr:nvPicPr>
          <xdr:cNvPr id="5" name="Obrázek 4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57500"/>
            <a:ext cx="4658375" cy="1133633"/>
          </a:xfrm>
          <a:prstGeom prst="rect">
            <a:avLst/>
          </a:prstGeom>
        </xdr:spPr>
      </xdr:pic>
      <xdr:pic>
        <xdr:nvPicPr>
          <xdr:cNvPr id="6" name="Obrázek 5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7175" y="3876675"/>
            <a:ext cx="5858693" cy="362001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95250</xdr:colOff>
      <xdr:row>33</xdr:row>
      <xdr:rowOff>152400</xdr:rowOff>
    </xdr:from>
    <xdr:to>
      <xdr:col>6</xdr:col>
      <xdr:colOff>562838</xdr:colOff>
      <xdr:row>41</xdr:row>
      <xdr:rowOff>171665</xdr:rowOff>
    </xdr:to>
    <xdr:pic>
      <xdr:nvPicPr>
        <xdr:cNvPr id="7" name="Obrázek 6" descr="Výřez obrazovky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6496050"/>
          <a:ext cx="6182588" cy="154326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9</xdr:row>
      <xdr:rowOff>95250</xdr:rowOff>
    </xdr:from>
    <xdr:to>
      <xdr:col>6</xdr:col>
      <xdr:colOff>791482</xdr:colOff>
      <xdr:row>15</xdr:row>
      <xdr:rowOff>181146</xdr:rowOff>
    </xdr:to>
    <xdr:pic>
      <xdr:nvPicPr>
        <xdr:cNvPr id="8" name="Obrázek 7" descr="Výřez obrazovky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809750"/>
          <a:ext cx="6496957" cy="122889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27</xdr:row>
      <xdr:rowOff>133350</xdr:rowOff>
    </xdr:from>
    <xdr:to>
      <xdr:col>1</xdr:col>
      <xdr:colOff>238126</xdr:colOff>
      <xdr:row>31</xdr:row>
      <xdr:rowOff>123543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5362575"/>
          <a:ext cx="1543050" cy="7521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85725</xdr:rowOff>
    </xdr:from>
    <xdr:to>
      <xdr:col>8</xdr:col>
      <xdr:colOff>534257</xdr:colOff>
      <xdr:row>27</xdr:row>
      <xdr:rowOff>19227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81450"/>
          <a:ext cx="6144482" cy="1267002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13</xdr:row>
      <xdr:rowOff>152400</xdr:rowOff>
    </xdr:from>
    <xdr:to>
      <xdr:col>9</xdr:col>
      <xdr:colOff>161925</xdr:colOff>
      <xdr:row>17</xdr:row>
      <xdr:rowOff>152400</xdr:rowOff>
    </xdr:to>
    <xdr:sp macro="" textlink="">
      <xdr:nvSpPr>
        <xdr:cNvPr id="5" name="TextovéPole 4"/>
        <xdr:cNvSpPr txBox="1"/>
      </xdr:nvSpPr>
      <xdr:spPr>
        <a:xfrm>
          <a:off x="180975" y="2714625"/>
          <a:ext cx="6200775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/>
            <a:t>Popis příkladu:</a:t>
          </a:r>
        </a:p>
        <a:p>
          <a:r>
            <a:rPr lang="cs-CZ" sz="1100"/>
            <a:t>V buňce </a:t>
          </a:r>
          <a:r>
            <a:rPr lang="cs-CZ" sz="1100" b="1"/>
            <a:t>F4</a:t>
          </a:r>
          <a:r>
            <a:rPr lang="cs-CZ" sz="1100"/>
            <a:t> je pomocí funkce </a:t>
          </a:r>
          <a:r>
            <a:rPr lang="cs-CZ" sz="1100" b="1"/>
            <a:t>RANK.EQ</a:t>
          </a:r>
          <a:r>
            <a:rPr lang="cs-CZ" sz="1100"/>
            <a:t> vypočteno pořadí hodnoty </a:t>
          </a:r>
          <a:r>
            <a:rPr lang="cs-CZ" sz="1100" b="1"/>
            <a:t>E4</a:t>
          </a:r>
          <a:r>
            <a:rPr lang="cs-CZ" sz="1100"/>
            <a:t> v oblasti </a:t>
          </a:r>
          <a:r>
            <a:rPr lang="cs-CZ" sz="1100" b="1"/>
            <a:t>$E$4:$E$13 </a:t>
          </a:r>
          <a:r>
            <a:rPr lang="cs-CZ" sz="1100" b="0"/>
            <a:t>sestupně (hodnota </a:t>
          </a:r>
          <a:r>
            <a:rPr lang="cs-CZ" sz="1100" b="1"/>
            <a:t>49</a:t>
          </a:r>
          <a:r>
            <a:rPr lang="cs-CZ" sz="1100" b="0"/>
            <a:t> je čtvrtá nejvyšší). stejná funkce je využita</a:t>
          </a:r>
          <a:r>
            <a:rPr lang="cs-CZ" sz="1100" b="0" baseline="0"/>
            <a:t> ve zbytku oblasti </a:t>
          </a:r>
          <a:r>
            <a:rPr lang="cs-CZ" sz="1100" b="1" baseline="0"/>
            <a:t>F4:F13.</a:t>
          </a:r>
          <a:endParaRPr lang="cs-CZ" sz="1100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56</xdr:row>
      <xdr:rowOff>133762</xdr:rowOff>
    </xdr:from>
    <xdr:to>
      <xdr:col>2</xdr:col>
      <xdr:colOff>562860</xdr:colOff>
      <xdr:row>61</xdr:row>
      <xdr:rowOff>171586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390525" y="10877962"/>
          <a:ext cx="2134485" cy="9903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66675</xdr:rowOff>
    </xdr:from>
    <xdr:to>
      <xdr:col>6</xdr:col>
      <xdr:colOff>877171</xdr:colOff>
      <xdr:row>41</xdr:row>
      <xdr:rowOff>336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76875"/>
          <a:ext cx="6239746" cy="241016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38100</xdr:rowOff>
    </xdr:from>
    <xdr:to>
      <xdr:col>6</xdr:col>
      <xdr:colOff>485775</xdr:colOff>
      <xdr:row>26</xdr:row>
      <xdr:rowOff>152400</xdr:rowOff>
    </xdr:to>
    <xdr:sp macro="" textlink="">
      <xdr:nvSpPr>
        <xdr:cNvPr id="5" name="TextovéPole 4"/>
        <xdr:cNvSpPr txBox="1"/>
      </xdr:nvSpPr>
      <xdr:spPr>
        <a:xfrm>
          <a:off x="0" y="3352800"/>
          <a:ext cx="584835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/>
            <a:t>Popis příkladu: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cs-CZ" sz="1100" b="0"/>
            <a:t>V buňce </a:t>
          </a:r>
          <a:r>
            <a:rPr lang="cs-CZ" sz="1100" b="1"/>
            <a:t>F4</a:t>
          </a:r>
          <a:r>
            <a:rPr lang="cs-CZ" sz="1100" b="0" baseline="0"/>
            <a:t> je pomocí funkce </a:t>
          </a:r>
          <a:r>
            <a:rPr lang="cs-CZ" sz="1100" b="1" baseline="0"/>
            <a:t>SVYHLEDAT</a:t>
          </a:r>
          <a:r>
            <a:rPr lang="cs-CZ" sz="1100" b="0" baseline="0"/>
            <a:t> vyhledána destinace s kódem buňky </a:t>
          </a:r>
          <a:r>
            <a:rPr lang="cs-CZ" sz="1100" b="1" baseline="0"/>
            <a:t>E4. </a:t>
          </a:r>
          <a:r>
            <a:rPr lang="cs-CZ" sz="1100" b="0" baseline="0"/>
            <a:t>Prohledáván je první sloupec oblasti </a:t>
          </a:r>
          <a:r>
            <a:rPr lang="cs-CZ" sz="1100" b="1" baseline="0"/>
            <a:t>I5:K12</a:t>
          </a:r>
          <a:r>
            <a:rPr lang="cs-CZ" sz="1100" b="0" baseline="0"/>
            <a:t> a vrácena je hodnota ze třetího sloupce této oblasti. Vyhledávána je přesná shoda s hledanou hodnotou. (Ekvivalentní výpočet je proveden ve zbytku oblasti </a:t>
          </a:r>
          <a:r>
            <a:rPr lang="cs-CZ" sz="1100" b="1" baseline="0"/>
            <a:t>F4:F13.</a:t>
          </a:r>
          <a:r>
            <a:rPr lang="cs-CZ" sz="1100" b="0" baseline="0"/>
            <a:t>)</a:t>
          </a:r>
        </a:p>
        <a:p>
          <a:pPr marL="171450" marR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cs-CZ" sz="1100" b="0" baseline="0"/>
            <a:t>V buňce </a:t>
          </a:r>
          <a:r>
            <a:rPr lang="cs-CZ" sz="1100" b="1" baseline="0"/>
            <a:t>G4</a:t>
          </a:r>
          <a:r>
            <a:rPr lang="cs-CZ" sz="1100" b="0" baseline="0"/>
            <a:t> je pomocí funkce SVYHLEDAT vyhledána hodnota pojištění, které odpovídá věku z buňky </a:t>
          </a:r>
          <a:r>
            <a:rPr lang="cs-CZ" sz="1100" b="1" baseline="0"/>
            <a:t>D4</a:t>
          </a:r>
          <a:r>
            <a:rPr lang="cs-CZ" sz="1100" b="0" baseline="0"/>
            <a:t>. Prohledáván je první sloupec oblasti  </a:t>
          </a:r>
          <a:r>
            <a:rPr lang="cs-CZ" sz="1100" b="1" baseline="0"/>
            <a:t>I16:J20</a:t>
          </a:r>
          <a:r>
            <a:rPr lang="cs-CZ" sz="1100" b="0" baseline="0"/>
            <a:t> a vrácena je hodnota z druhého sloupce této oblasti. Vyhledávána je nejbližší nižší hodnota k hledané hodnotě. (Ekvivalentní  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výpočet je proveden ve zbytku oblasti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G4:G13.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cs-CZ" sz="1100">
            <a:effectLst/>
          </a:endParaRPr>
        </a:p>
        <a:p>
          <a:pPr marL="171450" indent="-171450">
            <a:buFont typeface="Arial" panose="020B0604020202020204" pitchFamily="34" charset="0"/>
            <a:buChar char="•"/>
          </a:pPr>
          <a:endParaRPr lang="cs-CZ" sz="1100" b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107674</xdr:colOff>
      <xdr:row>4</xdr:row>
      <xdr:rowOff>182218</xdr:rowOff>
    </xdr:from>
    <xdr:to>
      <xdr:col>6</xdr:col>
      <xdr:colOff>124239</xdr:colOff>
      <xdr:row>10</xdr:row>
      <xdr:rowOff>82827</xdr:rowOff>
    </xdr:to>
    <xdr:sp macro="" textlink="">
      <xdr:nvSpPr>
        <xdr:cNvPr id="4" name="TextovéPole 3"/>
        <xdr:cNvSpPr txBox="1"/>
      </xdr:nvSpPr>
      <xdr:spPr>
        <a:xfrm>
          <a:off x="107674" y="1209261"/>
          <a:ext cx="5334000" cy="1043609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Popis příkladu:</a:t>
          </a:r>
          <a:endParaRPr lang="cs-CZ">
            <a:effectLst/>
          </a:endParaRPr>
        </a:p>
        <a:p>
          <a:r>
            <a:rPr lang="cs-CZ" sz="1100"/>
            <a:t>V buňce </a:t>
          </a:r>
          <a:r>
            <a:rPr lang="cs-CZ" sz="1100" b="1"/>
            <a:t>F4 </a:t>
          </a:r>
          <a:r>
            <a:rPr lang="cs-CZ" sz="1100" b="0"/>
            <a:t>je vypočítán součet (SUMA)</a:t>
          </a:r>
          <a:r>
            <a:rPr lang="cs-CZ" sz="1100" b="0" baseline="0"/>
            <a:t> </a:t>
          </a:r>
          <a:r>
            <a:rPr lang="cs-CZ" sz="1100" b="0"/>
            <a:t>za všechny čtyři pracoviště, který je zaokrouhlen (ZAOKROUHLIT)</a:t>
          </a:r>
          <a:r>
            <a:rPr lang="cs-CZ" sz="1100" b="0" baseline="0"/>
            <a:t> na celé jednotky. Je to provedeno v jediném výpočtu. </a:t>
          </a:r>
          <a:endParaRPr lang="cs-CZ" sz="1100" b="1"/>
        </a:p>
        <a:p>
          <a:r>
            <a:rPr lang="cs-CZ" sz="1100"/>
            <a:t>Synataxe</a:t>
          </a:r>
          <a:r>
            <a:rPr lang="cs-CZ" sz="1100" baseline="0"/>
            <a:t> vzorce je </a:t>
          </a:r>
          <a:r>
            <a:rPr lang="cs-CZ" sz="1100" b="1" baseline="0"/>
            <a:t>=ZAOKROUHLIT(SUMA(B4:E4);0)</a:t>
          </a:r>
          <a:r>
            <a:rPr lang="cs-CZ" sz="1100" b="0" baseline="0"/>
            <a:t>. Argumentem funkce ZAOKROUHLIT je vnořená funkce SUMA.</a:t>
          </a:r>
          <a:endParaRPr lang="cs-CZ" sz="1100" b="1"/>
        </a:p>
      </xdr:txBody>
    </xdr:sp>
    <xdr:clientData/>
  </xdr:twoCellAnchor>
  <xdr:twoCellAnchor>
    <xdr:from>
      <xdr:col>0</xdr:col>
      <xdr:colOff>0</xdr:colOff>
      <xdr:row>10</xdr:row>
      <xdr:rowOff>190500</xdr:rowOff>
    </xdr:from>
    <xdr:to>
      <xdr:col>7</xdr:col>
      <xdr:colOff>414187</xdr:colOff>
      <xdr:row>23</xdr:row>
      <xdr:rowOff>75020</xdr:rowOff>
    </xdr:to>
    <xdr:grpSp>
      <xdr:nvGrpSpPr>
        <xdr:cNvPr id="10" name="Skupina 9"/>
        <xdr:cNvGrpSpPr/>
      </xdr:nvGrpSpPr>
      <xdr:grpSpPr>
        <a:xfrm>
          <a:off x="0" y="2296602"/>
          <a:ext cx="6510187" cy="2304035"/>
          <a:chOff x="0" y="2360543"/>
          <a:chExt cx="6344535" cy="2361020"/>
        </a:xfrm>
      </xdr:grpSpPr>
      <xdr:grpSp>
        <xdr:nvGrpSpPr>
          <xdr:cNvPr id="7" name="Skupina 6"/>
          <xdr:cNvGrpSpPr/>
        </xdr:nvGrpSpPr>
        <xdr:grpSpPr>
          <a:xfrm>
            <a:off x="0" y="2360543"/>
            <a:ext cx="6344535" cy="1614341"/>
            <a:chOff x="0" y="2360543"/>
            <a:chExt cx="6344535" cy="1614341"/>
          </a:xfrm>
        </xdr:grpSpPr>
        <xdr:pic>
          <xdr:nvPicPr>
            <xdr:cNvPr id="5" name="Obrázek 4" descr="Výřez obrazovky"/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360543"/>
              <a:ext cx="6344535" cy="1276528"/>
            </a:xfrm>
            <a:prstGeom prst="rect">
              <a:avLst/>
            </a:prstGeom>
          </xdr:spPr>
        </xdr:pic>
        <xdr:pic>
          <xdr:nvPicPr>
            <xdr:cNvPr id="6" name="Obrázek 5" descr="Výřez obrazovky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289892" y="3536673"/>
              <a:ext cx="5982535" cy="438211"/>
            </a:xfrm>
            <a:prstGeom prst="rect">
              <a:avLst/>
            </a:prstGeom>
          </xdr:spPr>
        </xdr:pic>
      </xdr:grpSp>
      <xdr:pic>
        <xdr:nvPicPr>
          <xdr:cNvPr id="8" name="Obrázek 7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9891" y="3925956"/>
            <a:ext cx="5811061" cy="419158"/>
          </a:xfrm>
          <a:prstGeom prst="rect">
            <a:avLst/>
          </a:prstGeom>
        </xdr:spPr>
      </xdr:pic>
      <xdr:pic>
        <xdr:nvPicPr>
          <xdr:cNvPr id="9" name="Obrázek 8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8479" y="4273826"/>
            <a:ext cx="5687219" cy="447737"/>
          </a:xfrm>
          <a:prstGeom prst="rect">
            <a:avLst/>
          </a:prstGeom>
        </xdr:spPr>
      </xdr:pic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16</xdr:row>
      <xdr:rowOff>95250</xdr:rowOff>
    </xdr:from>
    <xdr:to>
      <xdr:col>9</xdr:col>
      <xdr:colOff>472198</xdr:colOff>
      <xdr:row>21</xdr:row>
      <xdr:rowOff>239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305175"/>
          <a:ext cx="2548648" cy="8574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5</xdr:col>
      <xdr:colOff>96126</xdr:colOff>
      <xdr:row>27</xdr:row>
      <xdr:rowOff>76609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47925"/>
          <a:ext cx="6277851" cy="2934109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37</xdr:row>
      <xdr:rowOff>104775</xdr:rowOff>
    </xdr:from>
    <xdr:to>
      <xdr:col>5</xdr:col>
      <xdr:colOff>305687</xdr:colOff>
      <xdr:row>62</xdr:row>
      <xdr:rowOff>95489</xdr:rowOff>
    </xdr:to>
    <xdr:grpSp>
      <xdr:nvGrpSpPr>
        <xdr:cNvPr id="6" name="Skupina 5"/>
        <xdr:cNvGrpSpPr/>
      </xdr:nvGrpSpPr>
      <xdr:grpSpPr>
        <a:xfrm>
          <a:off x="19050" y="7107555"/>
          <a:ext cx="6626477" cy="4562714"/>
          <a:chOff x="19050" y="6057900"/>
          <a:chExt cx="6468362" cy="4753214"/>
        </a:xfrm>
      </xdr:grpSpPr>
      <xdr:pic>
        <xdr:nvPicPr>
          <xdr:cNvPr id="4" name="Obrázek 3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6057900"/>
            <a:ext cx="6354062" cy="2972215"/>
          </a:xfrm>
          <a:prstGeom prst="rect">
            <a:avLst/>
          </a:prstGeom>
        </xdr:spPr>
      </xdr:pic>
      <xdr:pic>
        <xdr:nvPicPr>
          <xdr:cNvPr id="5" name="Obrázek 4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050" y="9096375"/>
            <a:ext cx="5591955" cy="1714739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0</xdr:colOff>
      <xdr:row>28</xdr:row>
      <xdr:rowOff>0</xdr:rowOff>
    </xdr:from>
    <xdr:to>
      <xdr:col>4</xdr:col>
      <xdr:colOff>1458128</xdr:colOff>
      <xdr:row>33</xdr:row>
      <xdr:rowOff>66817</xdr:rowOff>
    </xdr:to>
    <xdr:pic>
      <xdr:nvPicPr>
        <xdr:cNvPr id="8" name="Obrázek 7" descr="Výřez obrazovky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95925"/>
          <a:ext cx="5753903" cy="101931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11</xdr:row>
      <xdr:rowOff>123825</xdr:rowOff>
    </xdr:from>
    <xdr:to>
      <xdr:col>7</xdr:col>
      <xdr:colOff>581025</xdr:colOff>
      <xdr:row>33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77</xdr:row>
      <xdr:rowOff>0</xdr:rowOff>
    </xdr:from>
    <xdr:to>
      <xdr:col>9</xdr:col>
      <xdr:colOff>0</xdr:colOff>
      <xdr:row>94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285750</xdr:colOff>
      <xdr:row>37</xdr:row>
      <xdr:rowOff>114300</xdr:rowOff>
    </xdr:from>
    <xdr:to>
      <xdr:col>10</xdr:col>
      <xdr:colOff>256442</xdr:colOff>
      <xdr:row>64</xdr:row>
      <xdr:rowOff>104775</xdr:rowOff>
    </xdr:to>
    <xdr:pic>
      <xdr:nvPicPr>
        <xdr:cNvPr id="6" name="Obrázek 5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7210425"/>
          <a:ext cx="8257442" cy="5133975"/>
        </a:xfrm>
        <a:prstGeom prst="rect">
          <a:avLst/>
        </a:prstGeom>
      </xdr:spPr>
    </xdr:pic>
    <xdr:clientData/>
  </xdr:twoCellAnchor>
  <xdr:twoCellAnchor>
    <xdr:from>
      <xdr:col>0</xdr:col>
      <xdr:colOff>857249</xdr:colOff>
      <xdr:row>7</xdr:row>
      <xdr:rowOff>142875</xdr:rowOff>
    </xdr:from>
    <xdr:to>
      <xdr:col>6</xdr:col>
      <xdr:colOff>428624</xdr:colOff>
      <xdr:row>22</xdr:row>
      <xdr:rowOff>28575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</xdr:row>
      <xdr:rowOff>4762</xdr:rowOff>
    </xdr:from>
    <xdr:to>
      <xdr:col>6</xdr:col>
      <xdr:colOff>483060</xdr:colOff>
      <xdr:row>21</xdr:row>
      <xdr:rowOff>141562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38100</xdr:colOff>
      <xdr:row>22</xdr:row>
      <xdr:rowOff>129540</xdr:rowOff>
    </xdr:from>
    <xdr:to>
      <xdr:col>1</xdr:col>
      <xdr:colOff>876300</xdr:colOff>
      <xdr:row>24</xdr:row>
      <xdr:rowOff>129540</xdr:rowOff>
    </xdr:to>
    <xdr:sp macro="[0]!Okres" textlink="">
      <xdr:nvSpPr>
        <xdr:cNvPr id="9" name="TextovéPole 8"/>
        <xdr:cNvSpPr txBox="1"/>
      </xdr:nvSpPr>
      <xdr:spPr>
        <a:xfrm>
          <a:off x="38100" y="4198620"/>
          <a:ext cx="1912620" cy="365760"/>
        </a:xfrm>
        <a:prstGeom prst="rect">
          <a:avLst/>
        </a:prstGeom>
        <a:solidFill>
          <a:schemeClr val="accent1">
            <a:lumMod val="75000"/>
            <a:alpha val="99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cs-CZ" sz="1800" b="1">
              <a:solidFill>
                <a:schemeClr val="bg1"/>
              </a:solidFill>
            </a:rPr>
            <a:t>Okres</a:t>
          </a:r>
        </a:p>
      </xdr:txBody>
    </xdr:sp>
    <xdr:clientData/>
  </xdr:twoCellAnchor>
  <xdr:twoCellAnchor>
    <xdr:from>
      <xdr:col>3</xdr:col>
      <xdr:colOff>891540</xdr:colOff>
      <xdr:row>22</xdr:row>
      <xdr:rowOff>160020</xdr:rowOff>
    </xdr:from>
    <xdr:to>
      <xdr:col>6</xdr:col>
      <xdr:colOff>30480</xdr:colOff>
      <xdr:row>24</xdr:row>
      <xdr:rowOff>160020</xdr:rowOff>
    </xdr:to>
    <xdr:sp macro="" textlink="">
      <xdr:nvSpPr>
        <xdr:cNvPr id="10" name="TextovéPole 9"/>
        <xdr:cNvSpPr txBox="1"/>
      </xdr:nvSpPr>
      <xdr:spPr>
        <a:xfrm>
          <a:off x="4114800" y="4229100"/>
          <a:ext cx="1912620" cy="365760"/>
        </a:xfrm>
        <a:prstGeom prst="rect">
          <a:avLst/>
        </a:prstGeom>
        <a:solidFill>
          <a:schemeClr val="accent1">
            <a:lumMod val="75000"/>
            <a:alpha val="99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cs-CZ" sz="1800" b="1">
              <a:solidFill>
                <a:schemeClr val="bg1"/>
              </a:solidFill>
            </a:rPr>
            <a:t>Stát</a:t>
          </a:r>
        </a:p>
      </xdr:txBody>
    </xdr:sp>
    <xdr:clientData/>
  </xdr:twoCellAnchor>
  <xdr:twoCellAnchor>
    <xdr:from>
      <xdr:col>1</xdr:col>
      <xdr:colOff>1013460</xdr:colOff>
      <xdr:row>22</xdr:row>
      <xdr:rowOff>137160</xdr:rowOff>
    </xdr:from>
    <xdr:to>
      <xdr:col>3</xdr:col>
      <xdr:colOff>777240</xdr:colOff>
      <xdr:row>24</xdr:row>
      <xdr:rowOff>137160</xdr:rowOff>
    </xdr:to>
    <xdr:sp macro="" textlink="">
      <xdr:nvSpPr>
        <xdr:cNvPr id="11" name="TextovéPole 10"/>
        <xdr:cNvSpPr txBox="1"/>
      </xdr:nvSpPr>
      <xdr:spPr>
        <a:xfrm>
          <a:off x="2087880" y="4206240"/>
          <a:ext cx="1912620" cy="365760"/>
        </a:xfrm>
        <a:prstGeom prst="rect">
          <a:avLst/>
        </a:prstGeom>
        <a:solidFill>
          <a:schemeClr val="accent1">
            <a:lumMod val="75000"/>
            <a:alpha val="99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cs-CZ" sz="1800" b="1">
              <a:solidFill>
                <a:schemeClr val="bg1"/>
              </a:solidFill>
            </a:rPr>
            <a:t>Kraj</a:t>
          </a:r>
        </a:p>
      </xdr:txBody>
    </xdr:sp>
    <xdr:clientData/>
  </xdr:twoCellAnchor>
  <xdr:twoCellAnchor>
    <xdr:from>
      <xdr:col>0</xdr:col>
      <xdr:colOff>257175</xdr:colOff>
      <xdr:row>20</xdr:row>
      <xdr:rowOff>140970</xdr:rowOff>
    </xdr:from>
    <xdr:to>
      <xdr:col>1</xdr:col>
      <xdr:colOff>428625</xdr:colOff>
      <xdr:row>22</xdr:row>
      <xdr:rowOff>169545</xdr:rowOff>
    </xdr:to>
    <xdr:sp macro="[0]!Makro1" textlink="">
      <xdr:nvSpPr>
        <xdr:cNvPr id="3" name="Obdélník 2"/>
        <xdr:cNvSpPr/>
      </xdr:nvSpPr>
      <xdr:spPr>
        <a:xfrm>
          <a:off x="257175" y="3844290"/>
          <a:ext cx="1245870" cy="394335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Okres</a:t>
          </a:r>
        </a:p>
      </xdr:txBody>
    </xdr:sp>
    <xdr:clientData/>
  </xdr:twoCellAnchor>
  <xdr:twoCellAnchor>
    <xdr:from>
      <xdr:col>0</xdr:col>
      <xdr:colOff>219075</xdr:colOff>
      <xdr:row>23</xdr:row>
      <xdr:rowOff>89535</xdr:rowOff>
    </xdr:from>
    <xdr:to>
      <xdr:col>1</xdr:col>
      <xdr:colOff>390525</xdr:colOff>
      <xdr:row>25</xdr:row>
      <xdr:rowOff>118110</xdr:rowOff>
    </xdr:to>
    <xdr:sp macro="[0]!Makro2" textlink="">
      <xdr:nvSpPr>
        <xdr:cNvPr id="4" name="Obdélník 3"/>
        <xdr:cNvSpPr/>
      </xdr:nvSpPr>
      <xdr:spPr>
        <a:xfrm>
          <a:off x="219075" y="4341495"/>
          <a:ext cx="1245870" cy="394335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Kraj</a:t>
          </a:r>
        </a:p>
      </xdr:txBody>
    </xdr:sp>
    <xdr:clientData/>
  </xdr:twoCellAnchor>
  <xdr:twoCellAnchor>
    <xdr:from>
      <xdr:col>0</xdr:col>
      <xdr:colOff>150495</xdr:colOff>
      <xdr:row>26</xdr:row>
      <xdr:rowOff>152400</xdr:rowOff>
    </xdr:from>
    <xdr:to>
      <xdr:col>1</xdr:col>
      <xdr:colOff>321945</xdr:colOff>
      <xdr:row>28</xdr:row>
      <xdr:rowOff>163830</xdr:rowOff>
    </xdr:to>
    <xdr:sp macro="[0]!Makro3" textlink="">
      <xdr:nvSpPr>
        <xdr:cNvPr id="5" name="Obdélník 4"/>
        <xdr:cNvSpPr/>
      </xdr:nvSpPr>
      <xdr:spPr>
        <a:xfrm>
          <a:off x="150495" y="4953000"/>
          <a:ext cx="1245870" cy="384810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Stát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3</xdr:row>
      <xdr:rowOff>9525</xdr:rowOff>
    </xdr:from>
    <xdr:to>
      <xdr:col>7</xdr:col>
      <xdr:colOff>972372</xdr:colOff>
      <xdr:row>18</xdr:row>
      <xdr:rowOff>57555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1724025"/>
          <a:ext cx="5887272" cy="290553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26</xdr:row>
      <xdr:rowOff>180975</xdr:rowOff>
    </xdr:from>
    <xdr:to>
      <xdr:col>8</xdr:col>
      <xdr:colOff>0</xdr:colOff>
      <xdr:row>29</xdr:row>
      <xdr:rowOff>0</xdr:rowOff>
    </xdr:to>
    <xdr:sp macro="" textlink="">
      <xdr:nvSpPr>
        <xdr:cNvPr id="3" name="Obdélník 2"/>
        <xdr:cNvSpPr/>
      </xdr:nvSpPr>
      <xdr:spPr>
        <a:xfrm>
          <a:off x="5848350" y="5153025"/>
          <a:ext cx="1219200" cy="409575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Okres</a:t>
          </a:r>
        </a:p>
      </xdr:txBody>
    </xdr:sp>
    <xdr:clientData/>
  </xdr:twoCellAnchor>
  <xdr:twoCellAnchor>
    <xdr:from>
      <xdr:col>6</xdr:col>
      <xdr:colOff>0</xdr:colOff>
      <xdr:row>29</xdr:row>
      <xdr:rowOff>171450</xdr:rowOff>
    </xdr:from>
    <xdr:to>
      <xdr:col>8</xdr:col>
      <xdr:colOff>0</xdr:colOff>
      <xdr:row>32</xdr:row>
      <xdr:rowOff>0</xdr:rowOff>
    </xdr:to>
    <xdr:sp macro="" textlink="">
      <xdr:nvSpPr>
        <xdr:cNvPr id="4" name="Obdélník 3"/>
        <xdr:cNvSpPr/>
      </xdr:nvSpPr>
      <xdr:spPr>
        <a:xfrm>
          <a:off x="5848350" y="5734050"/>
          <a:ext cx="1219200" cy="409575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Kraj</a:t>
          </a:r>
        </a:p>
      </xdr:txBody>
    </xdr:sp>
    <xdr:clientData/>
  </xdr:twoCellAnchor>
  <xdr:twoCellAnchor>
    <xdr:from>
      <xdr:col>6</xdr:col>
      <xdr:colOff>0</xdr:colOff>
      <xdr:row>33</xdr:row>
      <xdr:rowOff>0</xdr:rowOff>
    </xdr:from>
    <xdr:to>
      <xdr:col>8</xdr:col>
      <xdr:colOff>0</xdr:colOff>
      <xdr:row>34</xdr:row>
      <xdr:rowOff>190499</xdr:rowOff>
    </xdr:to>
    <xdr:sp macro="" textlink="">
      <xdr:nvSpPr>
        <xdr:cNvPr id="5" name="Obdélník 4"/>
        <xdr:cNvSpPr/>
      </xdr:nvSpPr>
      <xdr:spPr>
        <a:xfrm>
          <a:off x="5848350" y="6334125"/>
          <a:ext cx="1219200" cy="380999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Stát</a:t>
          </a:r>
        </a:p>
      </xdr:txBody>
    </xdr:sp>
    <xdr:clientData/>
  </xdr:twoCellAnchor>
  <xdr:twoCellAnchor>
    <xdr:from>
      <xdr:col>0</xdr:col>
      <xdr:colOff>733425</xdr:colOff>
      <xdr:row>7</xdr:row>
      <xdr:rowOff>47625</xdr:rowOff>
    </xdr:from>
    <xdr:to>
      <xdr:col>11</xdr:col>
      <xdr:colOff>219075</xdr:colOff>
      <xdr:row>25</xdr:row>
      <xdr:rowOff>171450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334272</xdr:colOff>
      <xdr:row>12</xdr:row>
      <xdr:rowOff>181266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0"/>
          <a:ext cx="6430272" cy="20862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10</xdr:col>
      <xdr:colOff>153272</xdr:colOff>
      <xdr:row>29</xdr:row>
      <xdr:rowOff>9925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43200"/>
          <a:ext cx="6249272" cy="2867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10</xdr:col>
      <xdr:colOff>515273</xdr:colOff>
      <xdr:row>50</xdr:row>
      <xdr:rowOff>67216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91200"/>
          <a:ext cx="6611273" cy="38772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10</xdr:col>
      <xdr:colOff>467641</xdr:colOff>
      <xdr:row>64</xdr:row>
      <xdr:rowOff>152767</xdr:rowOff>
    </xdr:to>
    <xdr:pic>
      <xdr:nvPicPr>
        <xdr:cNvPr id="5" name="Obrázek 4" descr="Výřez obrazovky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791700"/>
          <a:ext cx="6563641" cy="2629267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114300</xdr:rowOff>
    </xdr:from>
    <xdr:to>
      <xdr:col>10</xdr:col>
      <xdr:colOff>733425</xdr:colOff>
      <xdr:row>36</xdr:row>
      <xdr:rowOff>66675</xdr:rowOff>
    </xdr:to>
    <xdr:sp macro="" textlink="">
      <xdr:nvSpPr>
        <xdr:cNvPr id="13" name="TextovéPole 12"/>
        <xdr:cNvSpPr txBox="1"/>
      </xdr:nvSpPr>
      <xdr:spPr>
        <a:xfrm>
          <a:off x="0" y="4410075"/>
          <a:ext cx="8763000" cy="3000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Zadání:</a:t>
          </a:r>
        </a:p>
        <a:p>
          <a:r>
            <a:rPr lang="cs-CZ" sz="1100"/>
            <a:t>Cílem tohoto úkolu je upravit graf tak, aby zobrazoval všechna potřebná data</a:t>
          </a:r>
          <a:r>
            <a:rPr lang="cs-CZ" sz="1100" baseline="0"/>
            <a:t> a aby odlišným způsobem zobrazoval globální charakteristiku (typ škol) se kterou jsou ostatní data porovnávána.</a:t>
          </a:r>
        </a:p>
        <a:p>
          <a:r>
            <a:rPr lang="cs-CZ" sz="1100" baseline="0"/>
            <a:t>Dále bude potřeba vytvořit tři makra, která budou podle potřeby měnit data v datové oblasti grafu tak, aby bylo možno rychle střídat globální charakteristiku (typ školy).</a:t>
          </a:r>
        </a:p>
        <a:p>
          <a:r>
            <a:rPr lang="cs-CZ" sz="1100" baseline="0"/>
            <a:t>V grafu schází data žáků Vágnerová a Trmač. Přidejte je do grafu. Žáky pak setřiďte podle abecedy. Na konci bude vždy jedna z globálních charakteristik.</a:t>
          </a:r>
        </a:p>
        <a:p>
          <a:r>
            <a:rPr lang="cs-CZ" sz="1100" baseline="0"/>
            <a:t>Vlastnosti objektů grafu proveďte podle ukázky. Dodržte zejména následující:</a:t>
          </a:r>
        </a:p>
        <a:p>
          <a:r>
            <a:rPr lang="cs-CZ" sz="1100" baseline="0"/>
            <a:t>- Upravte minimum, maximum a jednotku osy hodnot.</a:t>
          </a:r>
        </a:p>
        <a:p>
          <a:r>
            <a:rPr lang="cs-CZ" sz="1100" baseline="0"/>
            <a:t>- Pro globální charakteristiku použijte spojnicový graf.</a:t>
          </a:r>
        </a:p>
        <a:p>
          <a:r>
            <a:rPr lang="cs-CZ" sz="1100"/>
            <a:t>- Legendu umístěte pod graf.</a:t>
          </a:r>
        </a:p>
        <a:p>
          <a:r>
            <a:rPr lang="cs-CZ" sz="1100"/>
            <a:t>- Doplňte údaj "Celkem"</a:t>
          </a:r>
          <a:r>
            <a:rPr lang="cs-CZ" sz="1100" baseline="0"/>
            <a:t> - bude zobrazovat celkové hodnoty nasbíraných surovin (bez globálních) - zobrazen bude pomocí vedlejší osy (důvod: velká čísla)</a:t>
          </a:r>
        </a:p>
        <a:p>
          <a:r>
            <a:rPr lang="cs-CZ" sz="1100"/>
            <a:t>- Ostatní zvolte podle</a:t>
          </a:r>
          <a:r>
            <a:rPr lang="cs-CZ" sz="1100" baseline="0"/>
            <a:t> vlastního uvážení.</a:t>
          </a:r>
        </a:p>
        <a:p>
          <a:r>
            <a:rPr lang="cs-CZ" sz="1100" baseline="0"/>
            <a:t>Zaznamenejte potřebná makra a ke spuštění vytvořte tlačítka Gymnázium, Střední školy, Základní školy. </a:t>
          </a:r>
        </a:p>
        <a:p>
          <a:r>
            <a:rPr lang="cs-CZ" sz="1100" baseline="0"/>
            <a:t>Oři úpravách by nemělo docházet ke změně formátování příslušných oblastí!!</a:t>
          </a:r>
        </a:p>
        <a:p>
          <a:r>
            <a:rPr lang="cs-CZ" sz="1100" baseline="0"/>
            <a:t>Výsledný graf - viz ukázka</a:t>
          </a:r>
          <a:endParaRPr lang="cs-CZ" sz="1100"/>
        </a:p>
      </xdr:txBody>
    </xdr:sp>
    <xdr:clientData/>
  </xdr:twoCellAnchor>
  <xdr:twoCellAnchor editAs="oneCell">
    <xdr:from>
      <xdr:col>0</xdr:col>
      <xdr:colOff>933450</xdr:colOff>
      <xdr:row>39</xdr:row>
      <xdr:rowOff>152400</xdr:rowOff>
    </xdr:from>
    <xdr:to>
      <xdr:col>7</xdr:col>
      <xdr:colOff>146862</xdr:colOff>
      <xdr:row>49</xdr:row>
      <xdr:rowOff>28576</xdr:rowOff>
    </xdr:to>
    <xdr:pic>
      <xdr:nvPicPr>
        <xdr:cNvPr id="16" name="Obrázek 1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423" t="39141" r="40328" b="19898"/>
        <a:stretch/>
      </xdr:blipFill>
      <xdr:spPr>
        <a:xfrm>
          <a:off x="933450" y="8067675"/>
          <a:ext cx="4347387" cy="1781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7</xdr:col>
      <xdr:colOff>524544</xdr:colOff>
      <xdr:row>18</xdr:row>
      <xdr:rowOff>133767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4791744" cy="29912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8</xdr:col>
      <xdr:colOff>76891</xdr:colOff>
      <xdr:row>36</xdr:row>
      <xdr:rowOff>124294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19500"/>
          <a:ext cx="4953691" cy="33627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9</xdr:col>
      <xdr:colOff>934346</xdr:colOff>
      <xdr:row>51</xdr:row>
      <xdr:rowOff>133741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48500"/>
          <a:ext cx="6420746" cy="28007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8</xdr:col>
      <xdr:colOff>324576</xdr:colOff>
      <xdr:row>69</xdr:row>
      <xdr:rowOff>76636</xdr:rowOff>
    </xdr:to>
    <xdr:pic>
      <xdr:nvPicPr>
        <xdr:cNvPr id="5" name="Obrázek 4" descr="Výřez obrazovky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96500"/>
          <a:ext cx="5201376" cy="31246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9</xdr:col>
      <xdr:colOff>905767</xdr:colOff>
      <xdr:row>87</xdr:row>
      <xdr:rowOff>67136</xdr:rowOff>
    </xdr:to>
    <xdr:pic>
      <xdr:nvPicPr>
        <xdr:cNvPr id="6" name="Obrázek 5" descr="Výřez obrazovky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000"/>
          <a:ext cx="6392167" cy="330563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7</xdr:col>
      <xdr:colOff>524544</xdr:colOff>
      <xdr:row>18</xdr:row>
      <xdr:rowOff>133767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4791744" cy="29912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8</xdr:col>
      <xdr:colOff>76891</xdr:colOff>
      <xdr:row>36</xdr:row>
      <xdr:rowOff>124294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19500"/>
          <a:ext cx="4953691" cy="33627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9</xdr:col>
      <xdr:colOff>934346</xdr:colOff>
      <xdr:row>51</xdr:row>
      <xdr:rowOff>133741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48500"/>
          <a:ext cx="6420746" cy="28007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8</xdr:col>
      <xdr:colOff>324576</xdr:colOff>
      <xdr:row>69</xdr:row>
      <xdr:rowOff>76636</xdr:rowOff>
    </xdr:to>
    <xdr:pic>
      <xdr:nvPicPr>
        <xdr:cNvPr id="5" name="Obrázek 4" descr="Výřez obrazovky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96500"/>
          <a:ext cx="5201376" cy="31246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9</xdr:col>
      <xdr:colOff>905767</xdr:colOff>
      <xdr:row>87</xdr:row>
      <xdr:rowOff>67136</xdr:rowOff>
    </xdr:to>
    <xdr:pic>
      <xdr:nvPicPr>
        <xdr:cNvPr id="6" name="Obrázek 5" descr="Výřez obrazovky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000"/>
          <a:ext cx="6392167" cy="3305636"/>
        </a:xfrm>
        <a:prstGeom prst="rect">
          <a:avLst/>
        </a:prstGeom>
      </xdr:spPr>
    </xdr:pic>
    <xdr:clientData/>
  </xdr:twoCellAnchor>
  <xdr:twoCellAnchor>
    <xdr:from>
      <xdr:col>9</xdr:col>
      <xdr:colOff>200025</xdr:colOff>
      <xdr:row>11</xdr:row>
      <xdr:rowOff>133350</xdr:rowOff>
    </xdr:from>
    <xdr:to>
      <xdr:col>15</xdr:col>
      <xdr:colOff>523875</xdr:colOff>
      <xdr:row>26</xdr:row>
      <xdr:rowOff>19050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247650</xdr:colOff>
      <xdr:row>27</xdr:row>
      <xdr:rowOff>47625</xdr:rowOff>
    </xdr:from>
    <xdr:to>
      <xdr:col>15</xdr:col>
      <xdr:colOff>571500</xdr:colOff>
      <xdr:row>41</xdr:row>
      <xdr:rowOff>123825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1</xdr:row>
      <xdr:rowOff>66674</xdr:rowOff>
    </xdr:from>
    <xdr:to>
      <xdr:col>12</xdr:col>
      <xdr:colOff>95250</xdr:colOff>
      <xdr:row>17</xdr:row>
      <xdr:rowOff>76199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409575</xdr:colOff>
      <xdr:row>17</xdr:row>
      <xdr:rowOff>180975</xdr:rowOff>
    </xdr:from>
    <xdr:to>
      <xdr:col>12</xdr:col>
      <xdr:colOff>104775</xdr:colOff>
      <xdr:row>32</xdr:row>
      <xdr:rowOff>66675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1276</xdr:colOff>
      <xdr:row>13</xdr:row>
      <xdr:rowOff>95556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0"/>
          <a:ext cx="9145276" cy="2191056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6</xdr:row>
      <xdr:rowOff>0</xdr:rowOff>
    </xdr:from>
    <xdr:to>
      <xdr:col>18</xdr:col>
      <xdr:colOff>191121</xdr:colOff>
      <xdr:row>18</xdr:row>
      <xdr:rowOff>67003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1219200"/>
          <a:ext cx="4448796" cy="23530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10</xdr:col>
      <xdr:colOff>429536</xdr:colOff>
      <xdr:row>39</xdr:row>
      <xdr:rowOff>181585</xdr:rowOff>
    </xdr:to>
    <xdr:pic>
      <xdr:nvPicPr>
        <xdr:cNvPr id="5" name="Obrázek 4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14700"/>
          <a:ext cx="6525536" cy="437258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</xdr:colOff>
      <xdr:row>9</xdr:row>
      <xdr:rowOff>120932</xdr:rowOff>
    </xdr:from>
    <xdr:to>
      <xdr:col>17</xdr:col>
      <xdr:colOff>487448</xdr:colOff>
      <xdr:row>15</xdr:row>
      <xdr:rowOff>133350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1987832"/>
          <a:ext cx="2316248" cy="1155418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40</xdr:row>
      <xdr:rowOff>57150</xdr:rowOff>
    </xdr:from>
    <xdr:to>
      <xdr:col>9</xdr:col>
      <xdr:colOff>239040</xdr:colOff>
      <xdr:row>51</xdr:row>
      <xdr:rowOff>38390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867900"/>
          <a:ext cx="6554115" cy="207674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10</xdr:col>
      <xdr:colOff>219990</xdr:colOff>
      <xdr:row>36</xdr:row>
      <xdr:rowOff>171740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00750"/>
          <a:ext cx="6554115" cy="2076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1000125</xdr:colOff>
      <xdr:row>2</xdr:row>
      <xdr:rowOff>142875</xdr:rowOff>
    </xdr:from>
    <xdr:to>
      <xdr:col>7</xdr:col>
      <xdr:colOff>57150</xdr:colOff>
      <xdr:row>7</xdr:row>
      <xdr:rowOff>156790</xdr:rowOff>
    </xdr:to>
    <xdr:pic>
      <xdr:nvPicPr>
        <xdr:cNvPr id="2" name="Obráze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91" t="57943" r="17257" b="21881"/>
        <a:stretch/>
      </xdr:blipFill>
      <xdr:spPr>
        <a:xfrm>
          <a:off x="1076325" y="523875"/>
          <a:ext cx="5286375" cy="96641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16</xdr:row>
      <xdr:rowOff>66675</xdr:rowOff>
    </xdr:from>
    <xdr:to>
      <xdr:col>8</xdr:col>
      <xdr:colOff>904876</xdr:colOff>
      <xdr:row>21</xdr:row>
      <xdr:rowOff>134750</xdr:rowOff>
    </xdr:to>
    <xdr:pic>
      <xdr:nvPicPr>
        <xdr:cNvPr id="3" name="Obrázek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41150" r="9139" b="41920"/>
        <a:stretch/>
      </xdr:blipFill>
      <xdr:spPr>
        <a:xfrm>
          <a:off x="76201" y="3190875"/>
          <a:ext cx="8172450" cy="1020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5</xdr:col>
      <xdr:colOff>305422</xdr:colOff>
      <xdr:row>42</xdr:row>
      <xdr:rowOff>105295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457700"/>
          <a:ext cx="4458322" cy="372479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42</xdr:row>
      <xdr:rowOff>171450</xdr:rowOff>
    </xdr:from>
    <xdr:to>
      <xdr:col>7</xdr:col>
      <xdr:colOff>372379</xdr:colOff>
      <xdr:row>52</xdr:row>
      <xdr:rowOff>114558</xdr:rowOff>
    </xdr:to>
    <xdr:pic>
      <xdr:nvPicPr>
        <xdr:cNvPr id="5" name="Obrázek 4" descr="Výřez obrazovky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8248650"/>
          <a:ext cx="6477904" cy="184810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51</xdr:row>
      <xdr:rowOff>161925</xdr:rowOff>
    </xdr:from>
    <xdr:to>
      <xdr:col>6</xdr:col>
      <xdr:colOff>810447</xdr:colOff>
      <xdr:row>56</xdr:row>
      <xdr:rowOff>95250</xdr:rowOff>
    </xdr:to>
    <xdr:pic>
      <xdr:nvPicPr>
        <xdr:cNvPr id="6" name="Obrázek 5" descr="Výřez obrazovky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0" y="9953625"/>
          <a:ext cx="5887272" cy="885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63</xdr:row>
      <xdr:rowOff>38100</xdr:rowOff>
    </xdr:from>
    <xdr:to>
      <xdr:col>14</xdr:col>
      <xdr:colOff>601450</xdr:colOff>
      <xdr:row>69</xdr:row>
      <xdr:rowOff>181154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53325"/>
          <a:ext cx="9850225" cy="12860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9</xdr:col>
      <xdr:colOff>381919</xdr:colOff>
      <xdr:row>62</xdr:row>
      <xdr:rowOff>319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38725"/>
          <a:ext cx="6582694" cy="2286319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10</xdr:col>
      <xdr:colOff>153328</xdr:colOff>
      <xdr:row>41</xdr:row>
      <xdr:rowOff>114529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24225"/>
          <a:ext cx="6649378" cy="16385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9</xdr:col>
      <xdr:colOff>315190</xdr:colOff>
      <xdr:row>46</xdr:row>
      <xdr:rowOff>19159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38725"/>
          <a:ext cx="6201640" cy="7811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9</xdr:col>
      <xdr:colOff>286611</xdr:colOff>
      <xdr:row>49</xdr:row>
      <xdr:rowOff>95343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00725"/>
          <a:ext cx="6173061" cy="66684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10</xdr:col>
      <xdr:colOff>153328</xdr:colOff>
      <xdr:row>25</xdr:row>
      <xdr:rowOff>114529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24225"/>
          <a:ext cx="6649378" cy="16385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9</xdr:col>
      <xdr:colOff>315190</xdr:colOff>
      <xdr:row>30</xdr:row>
      <xdr:rowOff>19159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38725"/>
          <a:ext cx="6201640" cy="7811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9</xdr:col>
      <xdr:colOff>286611</xdr:colOff>
      <xdr:row>33</xdr:row>
      <xdr:rowOff>95343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00725"/>
          <a:ext cx="6173061" cy="66684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7</xdr:col>
      <xdr:colOff>581917</xdr:colOff>
      <xdr:row>45</xdr:row>
      <xdr:rowOff>266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57725"/>
          <a:ext cx="6392167" cy="19052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6</xdr:col>
      <xdr:colOff>153147</xdr:colOff>
      <xdr:row>60</xdr:row>
      <xdr:rowOff>162320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53225"/>
          <a:ext cx="5353797" cy="28293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7</xdr:col>
      <xdr:colOff>553338</xdr:colOff>
      <xdr:row>73</xdr:row>
      <xdr:rowOff>105082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01225"/>
          <a:ext cx="6363588" cy="2200582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10</xdr:col>
      <xdr:colOff>48517</xdr:colOff>
      <xdr:row>34</xdr:row>
      <xdr:rowOff>266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57725"/>
          <a:ext cx="6392167" cy="19052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8</xdr:col>
      <xdr:colOff>229347</xdr:colOff>
      <xdr:row>49</xdr:row>
      <xdr:rowOff>162320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53225"/>
          <a:ext cx="5353797" cy="28293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10</xdr:col>
      <xdr:colOff>19938</xdr:colOff>
      <xdr:row>62</xdr:row>
      <xdr:rowOff>105082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01225"/>
          <a:ext cx="6363588" cy="2200582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53</xdr:row>
      <xdr:rowOff>85725</xdr:rowOff>
    </xdr:from>
    <xdr:to>
      <xdr:col>12</xdr:col>
      <xdr:colOff>296490</xdr:colOff>
      <xdr:row>68</xdr:row>
      <xdr:rowOff>133755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0477500"/>
          <a:ext cx="8707065" cy="290553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39</xdr:row>
      <xdr:rowOff>104775</xdr:rowOff>
    </xdr:from>
    <xdr:to>
      <xdr:col>8</xdr:col>
      <xdr:colOff>381896</xdr:colOff>
      <xdr:row>50</xdr:row>
      <xdr:rowOff>38383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7829550"/>
          <a:ext cx="6420746" cy="2029108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33</xdr:row>
      <xdr:rowOff>0</xdr:rowOff>
    </xdr:from>
    <xdr:to>
      <xdr:col>9</xdr:col>
      <xdr:colOff>543824</xdr:colOff>
      <xdr:row>43</xdr:row>
      <xdr:rowOff>76313</xdr:rowOff>
    </xdr:to>
    <xdr:grpSp>
      <xdr:nvGrpSpPr>
        <xdr:cNvPr id="4" name="Skupina 3"/>
        <xdr:cNvGrpSpPr/>
      </xdr:nvGrpSpPr>
      <xdr:grpSpPr>
        <a:xfrm>
          <a:off x="609600" y="6429375"/>
          <a:ext cx="6439799" cy="1981313"/>
          <a:chOff x="609600" y="6429375"/>
          <a:chExt cx="6439799" cy="1981313"/>
        </a:xfrm>
      </xdr:grpSpPr>
      <xdr:pic>
        <xdr:nvPicPr>
          <xdr:cNvPr id="2" name="Obrázek 1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9600" y="6429375"/>
            <a:ext cx="6439799" cy="1352739"/>
          </a:xfrm>
          <a:prstGeom prst="rect">
            <a:avLst/>
          </a:prstGeom>
        </xdr:spPr>
      </xdr:pic>
      <xdr:pic>
        <xdr:nvPicPr>
          <xdr:cNvPr id="3" name="Obrázek 2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5800" y="7600950"/>
            <a:ext cx="6001588" cy="809738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0</xdr:colOff>
      <xdr:row>45</xdr:row>
      <xdr:rowOff>0</xdr:rowOff>
    </xdr:from>
    <xdr:to>
      <xdr:col>9</xdr:col>
      <xdr:colOff>275454</xdr:colOff>
      <xdr:row>62</xdr:row>
      <xdr:rowOff>123405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8715375"/>
          <a:ext cx="6171429" cy="336190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114300</xdr:rowOff>
    </xdr:from>
    <xdr:to>
      <xdr:col>10</xdr:col>
      <xdr:colOff>733425</xdr:colOff>
      <xdr:row>36</xdr:row>
      <xdr:rowOff>66675</xdr:rowOff>
    </xdr:to>
    <xdr:sp macro="" textlink="">
      <xdr:nvSpPr>
        <xdr:cNvPr id="2" name="TextovéPole 1"/>
        <xdr:cNvSpPr txBox="1"/>
      </xdr:nvSpPr>
      <xdr:spPr>
        <a:xfrm>
          <a:off x="0" y="4410075"/>
          <a:ext cx="8763000" cy="3000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Zadání:</a:t>
          </a:r>
        </a:p>
        <a:p>
          <a:r>
            <a:rPr lang="cs-CZ" sz="1100"/>
            <a:t>Cílem tohoto úkolu je upravit graf tak, aby zobrazoval všechna potřebná data</a:t>
          </a:r>
          <a:r>
            <a:rPr lang="cs-CZ" sz="1100" baseline="0"/>
            <a:t> a aby odlišným způsobem zobrazoval globální charakteristiku (typ škol) se kterou jsou ostatní data porovnávána.</a:t>
          </a:r>
        </a:p>
        <a:p>
          <a:r>
            <a:rPr lang="cs-CZ" sz="1100" baseline="0"/>
            <a:t>Dále bude potřeba vytvořit tři makra, která budou podle potřeby měnit data v datové oblasti grafu tak, aby bylo možno rychle střídat globální charakteristiku (typ školy).</a:t>
          </a:r>
        </a:p>
        <a:p>
          <a:r>
            <a:rPr lang="cs-CZ" sz="1100" baseline="0"/>
            <a:t>V grafu schází data žáků Vágnerová a Trmač. Přidejte je do grafu. Žáky pak setřiďte podle abecedy. Na konci bude vždy jedna z globálních charakteristik.</a:t>
          </a:r>
        </a:p>
        <a:p>
          <a:r>
            <a:rPr lang="cs-CZ" sz="1100" baseline="0"/>
            <a:t>Vlastnosti objektů grafu proveďte podle ukázky. Dodržte zejména následující:</a:t>
          </a:r>
        </a:p>
        <a:p>
          <a:r>
            <a:rPr lang="cs-CZ" sz="1100" baseline="0"/>
            <a:t>- Upravte minimum, maximum a jednotku osy hodnot.</a:t>
          </a:r>
        </a:p>
        <a:p>
          <a:r>
            <a:rPr lang="cs-CZ" sz="1100" baseline="0"/>
            <a:t>- Pro globální charakteristiku použijte spojnicový graf.</a:t>
          </a:r>
        </a:p>
        <a:p>
          <a:r>
            <a:rPr lang="cs-CZ" sz="1100"/>
            <a:t>- Legendu umístěte pod graf.</a:t>
          </a:r>
        </a:p>
        <a:p>
          <a:r>
            <a:rPr lang="cs-CZ" sz="1100"/>
            <a:t>- Doplňte údaj "Celkem"</a:t>
          </a:r>
          <a:r>
            <a:rPr lang="cs-CZ" sz="1100" baseline="0"/>
            <a:t> - bude zobrazovat celkové hodnoty nasbíraných surovin (bez globálních) - zobrazen bude pomocí vedlejší osy (důvod: velká čísla)</a:t>
          </a:r>
        </a:p>
        <a:p>
          <a:r>
            <a:rPr lang="cs-CZ" sz="1100"/>
            <a:t>- Ostatní zvolte podle</a:t>
          </a:r>
          <a:r>
            <a:rPr lang="cs-CZ" sz="1100" baseline="0"/>
            <a:t> vlastního uvážení.</a:t>
          </a:r>
        </a:p>
        <a:p>
          <a:r>
            <a:rPr lang="cs-CZ" sz="1100" baseline="0"/>
            <a:t>Zaznamenejte potřebná makra a ke spuštění vytvořte tlačítka Gymnázium, Střední školy, Základní školy. </a:t>
          </a:r>
        </a:p>
        <a:p>
          <a:r>
            <a:rPr lang="cs-CZ" sz="1100" baseline="0"/>
            <a:t>Oři úpravách by nemělo docházet ke změně formátování příslušných oblastí!!</a:t>
          </a:r>
        </a:p>
        <a:p>
          <a:r>
            <a:rPr lang="cs-CZ" sz="1100" baseline="0"/>
            <a:t>Výsledný graf - viz ukázka</a:t>
          </a:r>
          <a:endParaRPr lang="cs-CZ" sz="1100"/>
        </a:p>
      </xdr:txBody>
    </xdr:sp>
    <xdr:clientData/>
  </xdr:twoCellAnchor>
  <xdr:twoCellAnchor editAs="oneCell">
    <xdr:from>
      <xdr:col>0</xdr:col>
      <xdr:colOff>933450</xdr:colOff>
      <xdr:row>39</xdr:row>
      <xdr:rowOff>152400</xdr:rowOff>
    </xdr:from>
    <xdr:to>
      <xdr:col>7</xdr:col>
      <xdr:colOff>146862</xdr:colOff>
      <xdr:row>49</xdr:row>
      <xdr:rowOff>28576</xdr:rowOff>
    </xdr:to>
    <xdr:pic>
      <xdr:nvPicPr>
        <xdr:cNvPr id="3" name="Obrázek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423" t="39141" r="40328" b="19898"/>
        <a:stretch/>
      </xdr:blipFill>
      <xdr:spPr>
        <a:xfrm>
          <a:off x="933450" y="8067675"/>
          <a:ext cx="4347387" cy="1781176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135</xdr:row>
      <xdr:rowOff>0</xdr:rowOff>
    </xdr:from>
    <xdr:to>
      <xdr:col>9</xdr:col>
      <xdr:colOff>58042</xdr:colOff>
      <xdr:row>145</xdr:row>
      <xdr:rowOff>266</xdr:rowOff>
    </xdr:to>
    <xdr:pic>
      <xdr:nvPicPr>
        <xdr:cNvPr id="3" name="Obrázek 2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727150"/>
          <a:ext cx="6392167" cy="19052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92</xdr:row>
      <xdr:rowOff>114300</xdr:rowOff>
    </xdr:from>
    <xdr:to>
      <xdr:col>7</xdr:col>
      <xdr:colOff>362544</xdr:colOff>
      <xdr:row>102</xdr:row>
      <xdr:rowOff>114566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7640300"/>
          <a:ext cx="4258269" cy="190526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180975</xdr:rowOff>
    </xdr:from>
    <xdr:to>
      <xdr:col>11</xdr:col>
      <xdr:colOff>515271</xdr:colOff>
      <xdr:row>33</xdr:row>
      <xdr:rowOff>38371</xdr:rowOff>
    </xdr:to>
    <xdr:grpSp>
      <xdr:nvGrpSpPr>
        <xdr:cNvPr id="8" name="Skupina 7"/>
        <xdr:cNvGrpSpPr/>
      </xdr:nvGrpSpPr>
      <xdr:grpSpPr>
        <a:xfrm>
          <a:off x="320040" y="2192655"/>
          <a:ext cx="6611271" cy="3880756"/>
          <a:chOff x="314325" y="2276475"/>
          <a:chExt cx="6611271" cy="4048396"/>
        </a:xfrm>
      </xdr:grpSpPr>
      <xdr:pic>
        <xdr:nvPicPr>
          <xdr:cNvPr id="3" name="Obrázek 2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3850" y="2276475"/>
            <a:ext cx="6601746" cy="1781424"/>
          </a:xfrm>
          <a:prstGeom prst="rect">
            <a:avLst/>
          </a:prstGeom>
        </xdr:spPr>
      </xdr:pic>
      <xdr:pic>
        <xdr:nvPicPr>
          <xdr:cNvPr id="4" name="Obrázek 3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9600" y="3981450"/>
            <a:ext cx="3258005" cy="304843"/>
          </a:xfrm>
          <a:prstGeom prst="rect">
            <a:avLst/>
          </a:prstGeom>
        </xdr:spPr>
      </xdr:pic>
      <xdr:pic>
        <xdr:nvPicPr>
          <xdr:cNvPr id="5" name="Obrázek 4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14325" y="4381500"/>
            <a:ext cx="6411220" cy="1943371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552449</xdr:colOff>
      <xdr:row>56</xdr:row>
      <xdr:rowOff>8333</xdr:rowOff>
    </xdr:from>
    <xdr:to>
      <xdr:col>17</xdr:col>
      <xdr:colOff>447675</xdr:colOff>
      <xdr:row>79</xdr:row>
      <xdr:rowOff>90692</xdr:rowOff>
    </xdr:to>
    <xdr:pic>
      <xdr:nvPicPr>
        <xdr:cNvPr id="6" name="Obrázek 5" descr="Výřez obrazovky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10676333"/>
          <a:ext cx="5991226" cy="446385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36</xdr:row>
      <xdr:rowOff>38100</xdr:rowOff>
    </xdr:from>
    <xdr:to>
      <xdr:col>17</xdr:col>
      <xdr:colOff>572346</xdr:colOff>
      <xdr:row>54</xdr:row>
      <xdr:rowOff>143368</xdr:rowOff>
    </xdr:to>
    <xdr:pic>
      <xdr:nvPicPr>
        <xdr:cNvPr id="7" name="Obrázek 6" descr="Výřez obrazovky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6896100"/>
          <a:ext cx="6058746" cy="35342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91440</xdr:colOff>
      <xdr:row>0</xdr:row>
      <xdr:rowOff>137160</xdr:rowOff>
    </xdr:from>
    <xdr:to>
      <xdr:col>16</xdr:col>
      <xdr:colOff>274876</xdr:colOff>
      <xdr:row>5</xdr:row>
      <xdr:rowOff>152481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8640" y="137160"/>
          <a:ext cx="6416596" cy="9297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477082</xdr:colOff>
      <xdr:row>23</xdr:row>
      <xdr:rowOff>532</xdr:rowOff>
    </xdr:to>
    <xdr:pic>
      <xdr:nvPicPr>
        <xdr:cNvPr id="2" name="Obrázek 1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71500"/>
          <a:ext cx="5963482" cy="381053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106</xdr:row>
      <xdr:rowOff>0</xdr:rowOff>
    </xdr:from>
    <xdr:to>
      <xdr:col>9</xdr:col>
      <xdr:colOff>105672</xdr:colOff>
      <xdr:row>121</xdr:row>
      <xdr:rowOff>143294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193500"/>
          <a:ext cx="6430272" cy="3000794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0</xdr:row>
      <xdr:rowOff>0</xdr:rowOff>
    </xdr:from>
    <xdr:to>
      <xdr:col>6</xdr:col>
      <xdr:colOff>581474</xdr:colOff>
      <xdr:row>4</xdr:row>
      <xdr:rowOff>57264</xdr:rowOff>
    </xdr:to>
    <xdr:pic>
      <xdr:nvPicPr>
        <xdr:cNvPr id="5" name="Obrázek 4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0"/>
          <a:ext cx="3219899" cy="81926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19050</xdr:rowOff>
    </xdr:from>
    <xdr:to>
      <xdr:col>10</xdr:col>
      <xdr:colOff>457200</xdr:colOff>
      <xdr:row>5</xdr:row>
      <xdr:rowOff>38100</xdr:rowOff>
    </xdr:to>
    <xdr:sp macro="" textlink="">
      <xdr:nvSpPr>
        <xdr:cNvPr id="5" name="TextovéPole 4"/>
        <xdr:cNvSpPr txBox="1"/>
      </xdr:nvSpPr>
      <xdr:spPr>
        <a:xfrm>
          <a:off x="1828800" y="19050"/>
          <a:ext cx="5562600" cy="97155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/>
            <a:t>Popis příkladu: </a:t>
          </a:r>
        </a:p>
        <a:p>
          <a:r>
            <a:rPr lang="cs-CZ" sz="1100"/>
            <a:t>List je rozdělen ukotvenými příčkami, a to:</a:t>
          </a:r>
        </a:p>
        <a:p>
          <a:pPr marL="171450" indent="-171450">
            <a:buFont typeface="Wingdings" panose="05000000000000000000" pitchFamily="2" charset="2"/>
            <a:buChar char="§"/>
          </a:pPr>
          <a:r>
            <a:rPr lang="cs-CZ" sz="1100"/>
            <a:t>Vodorovnou příčkou mezi řádky 7 a 8</a:t>
          </a:r>
        </a:p>
        <a:p>
          <a:pPr marL="171450" indent="-171450">
            <a:buFont typeface="Wingdings" panose="05000000000000000000" pitchFamily="2" charset="2"/>
            <a:buChar char="§"/>
          </a:pPr>
          <a:r>
            <a:rPr lang="cs-CZ" sz="1100"/>
            <a:t>Svislou příčkou mezi sloupci B a C</a:t>
          </a:r>
        </a:p>
        <a:p>
          <a:r>
            <a:rPr lang="cs-CZ" sz="1100"/>
            <a:t>Příčky nelze přesouvat. Při rolování zůstává vždy horní a levá část listu zobrazena.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yuka_2017_2018\Excel\EXCEL_2401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EXCEL_2401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EXCEL_PRIKLADY\KM_vyreseno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EXCEL_z&#225;klady_02_S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Obsah 2"/>
      <sheetName val="řazení I"/>
      <sheetName val="řazení II"/>
      <sheetName val="List2"/>
      <sheetName val="List1"/>
      <sheetName val="mocnina"/>
      <sheetName val="Text"/>
      <sheetName val="Když"/>
      <sheetName val="ABS Odkazy I"/>
      <sheetName val="DPH"/>
      <sheetName val="Fce I"/>
      <sheetName val="Zaokr"/>
      <sheetName val="řazení"/>
      <sheetName val="RČ-kdy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>
            <v>1250</v>
          </cell>
          <cell r="E2">
            <v>125</v>
          </cell>
        </row>
        <row r="3">
          <cell r="D3">
            <v>884</v>
          </cell>
          <cell r="E3">
            <v>176.8</v>
          </cell>
        </row>
        <row r="4">
          <cell r="D4">
            <v>1562</v>
          </cell>
          <cell r="E4">
            <v>156.20000000000002</v>
          </cell>
        </row>
        <row r="5">
          <cell r="D5">
            <v>1444</v>
          </cell>
          <cell r="E5">
            <v>144.4</v>
          </cell>
        </row>
        <row r="6">
          <cell r="D6">
            <v>565</v>
          </cell>
          <cell r="E6">
            <v>113</v>
          </cell>
        </row>
        <row r="7">
          <cell r="D7">
            <v>478</v>
          </cell>
          <cell r="E7">
            <v>95.600000000000009</v>
          </cell>
        </row>
        <row r="8">
          <cell r="D8">
            <v>456</v>
          </cell>
          <cell r="E8">
            <v>45.6</v>
          </cell>
        </row>
        <row r="9">
          <cell r="D9">
            <v>123</v>
          </cell>
          <cell r="E9">
            <v>12.3</v>
          </cell>
        </row>
        <row r="10">
          <cell r="D10">
            <v>1254</v>
          </cell>
          <cell r="E10">
            <v>250.8</v>
          </cell>
        </row>
        <row r="11">
          <cell r="D11">
            <v>1002</v>
          </cell>
          <cell r="E11">
            <v>100.2</v>
          </cell>
        </row>
        <row r="12">
          <cell r="D12">
            <v>2560</v>
          </cell>
          <cell r="E12">
            <v>512</v>
          </cell>
        </row>
        <row r="13">
          <cell r="D13">
            <v>1800</v>
          </cell>
          <cell r="E13">
            <v>180</v>
          </cell>
        </row>
        <row r="14">
          <cell r="D14">
            <v>2200</v>
          </cell>
          <cell r="E14">
            <v>440</v>
          </cell>
        </row>
        <row r="15">
          <cell r="D15">
            <v>4500</v>
          </cell>
          <cell r="E15">
            <v>900</v>
          </cell>
        </row>
        <row r="16">
          <cell r="D16">
            <v>3600</v>
          </cell>
          <cell r="E16">
            <v>720</v>
          </cell>
        </row>
        <row r="17">
          <cell r="D17">
            <v>360</v>
          </cell>
          <cell r="E17">
            <v>72</v>
          </cell>
        </row>
        <row r="18">
          <cell r="D18">
            <v>540</v>
          </cell>
          <cell r="E18">
            <v>108</v>
          </cell>
        </row>
        <row r="19">
          <cell r="D19">
            <v>789</v>
          </cell>
          <cell r="E19">
            <v>78.900000000000006</v>
          </cell>
        </row>
        <row r="20">
          <cell r="D20">
            <v>458</v>
          </cell>
          <cell r="E20">
            <v>45.800000000000004</v>
          </cell>
        </row>
        <row r="21">
          <cell r="D21">
            <v>125</v>
          </cell>
          <cell r="E21">
            <v>25</v>
          </cell>
        </row>
        <row r="22">
          <cell r="D22">
            <v>2500</v>
          </cell>
          <cell r="E22">
            <v>250</v>
          </cell>
        </row>
        <row r="23">
          <cell r="D23">
            <v>1768</v>
          </cell>
          <cell r="E23">
            <v>176.8</v>
          </cell>
        </row>
        <row r="24">
          <cell r="D24">
            <v>3124</v>
          </cell>
          <cell r="E24">
            <v>312.40000000000003</v>
          </cell>
        </row>
        <row r="25">
          <cell r="D25">
            <v>2888</v>
          </cell>
          <cell r="E25">
            <v>577.6</v>
          </cell>
        </row>
        <row r="26">
          <cell r="D26">
            <v>1130</v>
          </cell>
          <cell r="E26">
            <v>113</v>
          </cell>
        </row>
        <row r="27">
          <cell r="D27">
            <v>956</v>
          </cell>
          <cell r="E27">
            <v>95.600000000000009</v>
          </cell>
        </row>
        <row r="28">
          <cell r="D28">
            <v>912</v>
          </cell>
          <cell r="E28">
            <v>91.2</v>
          </cell>
        </row>
        <row r="29">
          <cell r="D29">
            <v>246</v>
          </cell>
          <cell r="E29">
            <v>49.2</v>
          </cell>
        </row>
        <row r="30">
          <cell r="D30">
            <v>2508</v>
          </cell>
          <cell r="E30">
            <v>501.6</v>
          </cell>
        </row>
        <row r="31">
          <cell r="D31">
            <v>2004</v>
          </cell>
          <cell r="E31">
            <v>200.4</v>
          </cell>
        </row>
        <row r="32">
          <cell r="D32">
            <v>5120</v>
          </cell>
          <cell r="E32">
            <v>512</v>
          </cell>
        </row>
        <row r="33">
          <cell r="D33">
            <v>3600</v>
          </cell>
          <cell r="E33">
            <v>720</v>
          </cell>
        </row>
        <row r="34">
          <cell r="D34">
            <v>4400</v>
          </cell>
          <cell r="E34">
            <v>440</v>
          </cell>
        </row>
        <row r="35">
          <cell r="D35">
            <v>9000</v>
          </cell>
          <cell r="E35">
            <v>1800</v>
          </cell>
        </row>
        <row r="36">
          <cell r="D36">
            <v>7200</v>
          </cell>
          <cell r="E36">
            <v>720</v>
          </cell>
        </row>
        <row r="37">
          <cell r="D37">
            <v>720</v>
          </cell>
          <cell r="E37">
            <v>144</v>
          </cell>
        </row>
        <row r="38">
          <cell r="D38">
            <v>1080</v>
          </cell>
          <cell r="E38">
            <v>216</v>
          </cell>
        </row>
        <row r="39">
          <cell r="D39">
            <v>1578</v>
          </cell>
          <cell r="E39">
            <v>157.80000000000001</v>
          </cell>
        </row>
        <row r="40">
          <cell r="D40">
            <v>916</v>
          </cell>
          <cell r="E40">
            <v>91.600000000000009</v>
          </cell>
        </row>
        <row r="41">
          <cell r="D41">
            <v>250</v>
          </cell>
          <cell r="E41">
            <v>50</v>
          </cell>
        </row>
        <row r="42">
          <cell r="D42">
            <v>2500</v>
          </cell>
          <cell r="E42">
            <v>250</v>
          </cell>
        </row>
        <row r="43">
          <cell r="D43">
            <v>1768</v>
          </cell>
          <cell r="E43">
            <v>176.8</v>
          </cell>
        </row>
        <row r="44">
          <cell r="D44">
            <v>3124</v>
          </cell>
          <cell r="E44">
            <v>312.40000000000003</v>
          </cell>
        </row>
        <row r="45">
          <cell r="D45">
            <v>2888</v>
          </cell>
          <cell r="E45">
            <v>288.8</v>
          </cell>
        </row>
        <row r="46">
          <cell r="D46">
            <v>1130</v>
          </cell>
          <cell r="E46">
            <v>113</v>
          </cell>
        </row>
        <row r="47">
          <cell r="D47">
            <v>956</v>
          </cell>
          <cell r="E47">
            <v>95.600000000000009</v>
          </cell>
        </row>
        <row r="48">
          <cell r="D48">
            <v>912</v>
          </cell>
          <cell r="E48">
            <v>182.4</v>
          </cell>
        </row>
        <row r="49">
          <cell r="D49">
            <v>246</v>
          </cell>
          <cell r="E49">
            <v>49.2</v>
          </cell>
        </row>
        <row r="50">
          <cell r="D50">
            <v>2508</v>
          </cell>
          <cell r="E50">
            <v>250.8</v>
          </cell>
        </row>
        <row r="51">
          <cell r="D51">
            <v>2004</v>
          </cell>
          <cell r="E51">
            <v>200.4</v>
          </cell>
        </row>
        <row r="52">
          <cell r="D52">
            <v>5120</v>
          </cell>
          <cell r="E52">
            <v>1024</v>
          </cell>
        </row>
        <row r="53">
          <cell r="D53">
            <v>3600</v>
          </cell>
          <cell r="E53">
            <v>360</v>
          </cell>
        </row>
        <row r="54">
          <cell r="D54">
            <v>4400</v>
          </cell>
          <cell r="E54">
            <v>880</v>
          </cell>
        </row>
        <row r="55">
          <cell r="D55">
            <v>9000</v>
          </cell>
          <cell r="E55">
            <v>900</v>
          </cell>
        </row>
        <row r="56">
          <cell r="D56">
            <v>7200</v>
          </cell>
          <cell r="E56">
            <v>1440</v>
          </cell>
        </row>
        <row r="57">
          <cell r="D57">
            <v>720</v>
          </cell>
          <cell r="E57">
            <v>144</v>
          </cell>
        </row>
        <row r="58">
          <cell r="D58">
            <v>1080</v>
          </cell>
          <cell r="E58">
            <v>108</v>
          </cell>
        </row>
        <row r="59">
          <cell r="D59">
            <v>1578</v>
          </cell>
          <cell r="E59">
            <v>157.80000000000001</v>
          </cell>
        </row>
        <row r="60">
          <cell r="D60">
            <v>916</v>
          </cell>
          <cell r="E60">
            <v>183.20000000000002</v>
          </cell>
        </row>
        <row r="61">
          <cell r="D61">
            <v>250</v>
          </cell>
          <cell r="E61">
            <v>25</v>
          </cell>
        </row>
        <row r="62">
          <cell r="D62">
            <v>312.5</v>
          </cell>
          <cell r="E62">
            <v>31.25</v>
          </cell>
        </row>
        <row r="63">
          <cell r="D63">
            <v>221</v>
          </cell>
          <cell r="E63">
            <v>22.1</v>
          </cell>
        </row>
        <row r="64">
          <cell r="D64">
            <v>390.5</v>
          </cell>
          <cell r="E64">
            <v>39.050000000000004</v>
          </cell>
        </row>
        <row r="65">
          <cell r="D65">
            <v>361</v>
          </cell>
          <cell r="E65">
            <v>72.2</v>
          </cell>
        </row>
        <row r="66">
          <cell r="D66">
            <v>141.25</v>
          </cell>
          <cell r="E66">
            <v>28.25</v>
          </cell>
        </row>
        <row r="67">
          <cell r="D67">
            <v>119.5</v>
          </cell>
          <cell r="E67">
            <v>11.950000000000001</v>
          </cell>
        </row>
        <row r="68">
          <cell r="D68">
            <v>114</v>
          </cell>
          <cell r="E68">
            <v>11.4</v>
          </cell>
        </row>
        <row r="69">
          <cell r="D69">
            <v>30.75</v>
          </cell>
          <cell r="E69">
            <v>6.15</v>
          </cell>
        </row>
        <row r="70">
          <cell r="D70">
            <v>313.5</v>
          </cell>
          <cell r="E70">
            <v>31.35</v>
          </cell>
        </row>
        <row r="71">
          <cell r="D71">
            <v>250.5</v>
          </cell>
          <cell r="E71">
            <v>50.1</v>
          </cell>
        </row>
        <row r="72">
          <cell r="D72">
            <v>640</v>
          </cell>
          <cell r="E72">
            <v>64</v>
          </cell>
        </row>
        <row r="73">
          <cell r="D73">
            <v>450</v>
          </cell>
          <cell r="E73">
            <v>90</v>
          </cell>
        </row>
        <row r="74">
          <cell r="D74">
            <v>550</v>
          </cell>
          <cell r="E74">
            <v>110</v>
          </cell>
        </row>
        <row r="75">
          <cell r="D75">
            <v>1125</v>
          </cell>
          <cell r="E75">
            <v>112.5</v>
          </cell>
        </row>
        <row r="76">
          <cell r="D76">
            <v>900</v>
          </cell>
          <cell r="E76">
            <v>90</v>
          </cell>
        </row>
        <row r="77">
          <cell r="D77">
            <v>90</v>
          </cell>
          <cell r="E77">
            <v>18</v>
          </cell>
        </row>
        <row r="78">
          <cell r="D78">
            <v>135</v>
          </cell>
          <cell r="E78">
            <v>13.5</v>
          </cell>
        </row>
        <row r="79">
          <cell r="D79">
            <v>197.25</v>
          </cell>
          <cell r="E79">
            <v>19.725000000000001</v>
          </cell>
        </row>
        <row r="80">
          <cell r="D80">
            <v>114.5</v>
          </cell>
          <cell r="E80">
            <v>11.450000000000001</v>
          </cell>
        </row>
        <row r="81">
          <cell r="D81">
            <v>31.25</v>
          </cell>
          <cell r="E81">
            <v>3.125</v>
          </cell>
        </row>
        <row r="82">
          <cell r="D82">
            <v>1562.5</v>
          </cell>
          <cell r="E82">
            <v>156.25</v>
          </cell>
        </row>
        <row r="83">
          <cell r="D83">
            <v>1105</v>
          </cell>
          <cell r="E83">
            <v>221</v>
          </cell>
        </row>
        <row r="84">
          <cell r="D84">
            <v>1952.5</v>
          </cell>
          <cell r="E84">
            <v>390.5</v>
          </cell>
        </row>
        <row r="85">
          <cell r="D85">
            <v>1805</v>
          </cell>
          <cell r="E85">
            <v>180.5</v>
          </cell>
        </row>
        <row r="86">
          <cell r="D86">
            <v>706.25</v>
          </cell>
          <cell r="E86">
            <v>70.625</v>
          </cell>
        </row>
        <row r="87">
          <cell r="D87">
            <v>597.5</v>
          </cell>
          <cell r="E87">
            <v>119.5</v>
          </cell>
        </row>
        <row r="88">
          <cell r="D88">
            <v>570</v>
          </cell>
          <cell r="E88">
            <v>57</v>
          </cell>
        </row>
        <row r="89">
          <cell r="D89">
            <v>153.75</v>
          </cell>
          <cell r="E89">
            <v>30.75</v>
          </cell>
        </row>
        <row r="90">
          <cell r="D90">
            <v>1567.5</v>
          </cell>
          <cell r="E90">
            <v>156.75</v>
          </cell>
        </row>
        <row r="91">
          <cell r="D91">
            <v>1252.5</v>
          </cell>
          <cell r="E91">
            <v>250.5</v>
          </cell>
        </row>
        <row r="92">
          <cell r="D92">
            <v>3200</v>
          </cell>
          <cell r="E92">
            <v>640</v>
          </cell>
        </row>
        <row r="93">
          <cell r="D93">
            <v>2250</v>
          </cell>
          <cell r="E93">
            <v>225</v>
          </cell>
        </row>
        <row r="94">
          <cell r="D94">
            <v>2750</v>
          </cell>
          <cell r="E94">
            <v>275</v>
          </cell>
        </row>
        <row r="95">
          <cell r="D95">
            <v>5625</v>
          </cell>
          <cell r="E95">
            <v>1125</v>
          </cell>
        </row>
        <row r="96">
          <cell r="D96">
            <v>4500</v>
          </cell>
          <cell r="E96">
            <v>450</v>
          </cell>
        </row>
        <row r="97">
          <cell r="D97">
            <v>450</v>
          </cell>
          <cell r="E97">
            <v>45</v>
          </cell>
        </row>
        <row r="98">
          <cell r="D98">
            <v>675</v>
          </cell>
          <cell r="E98">
            <v>67.5</v>
          </cell>
        </row>
        <row r="99">
          <cell r="D99">
            <v>986.25</v>
          </cell>
          <cell r="E99">
            <v>98.625</v>
          </cell>
        </row>
        <row r="100">
          <cell r="D100">
            <v>572.5</v>
          </cell>
          <cell r="E100">
            <v>57.25</v>
          </cell>
        </row>
        <row r="101">
          <cell r="D101">
            <v>156.25</v>
          </cell>
          <cell r="E101">
            <v>15.625</v>
          </cell>
        </row>
        <row r="102">
          <cell r="D102">
            <v>1875</v>
          </cell>
          <cell r="E102">
            <v>375</v>
          </cell>
        </row>
        <row r="103">
          <cell r="D103">
            <v>1326</v>
          </cell>
          <cell r="E103">
            <v>265.2</v>
          </cell>
        </row>
        <row r="104">
          <cell r="D104">
            <v>2343</v>
          </cell>
          <cell r="E104">
            <v>234.3</v>
          </cell>
        </row>
        <row r="105">
          <cell r="D105">
            <v>2166</v>
          </cell>
          <cell r="E105">
            <v>216.60000000000002</v>
          </cell>
        </row>
        <row r="106">
          <cell r="D106">
            <v>847.5</v>
          </cell>
          <cell r="E106">
            <v>169.5</v>
          </cell>
        </row>
        <row r="107">
          <cell r="D107">
            <v>717</v>
          </cell>
          <cell r="E107">
            <v>71.7</v>
          </cell>
        </row>
        <row r="108">
          <cell r="D108">
            <v>684</v>
          </cell>
          <cell r="E108">
            <v>136.80000000000001</v>
          </cell>
        </row>
        <row r="109">
          <cell r="D109">
            <v>184.5</v>
          </cell>
          <cell r="E109">
            <v>18.45</v>
          </cell>
        </row>
        <row r="110">
          <cell r="D110">
            <v>1881</v>
          </cell>
          <cell r="E110">
            <v>376.20000000000005</v>
          </cell>
        </row>
        <row r="111">
          <cell r="D111">
            <v>1503</v>
          </cell>
          <cell r="E111">
            <v>300.60000000000002</v>
          </cell>
        </row>
        <row r="112">
          <cell r="D112">
            <v>3840</v>
          </cell>
          <cell r="E112">
            <v>384</v>
          </cell>
        </row>
        <row r="113">
          <cell r="D113">
            <v>2700</v>
          </cell>
          <cell r="E113">
            <v>270</v>
          </cell>
        </row>
        <row r="114">
          <cell r="D114">
            <v>3300</v>
          </cell>
          <cell r="E114">
            <v>660</v>
          </cell>
        </row>
        <row r="115">
          <cell r="D115">
            <v>6750</v>
          </cell>
          <cell r="E115">
            <v>675</v>
          </cell>
        </row>
        <row r="116">
          <cell r="D116">
            <v>5400</v>
          </cell>
          <cell r="E116">
            <v>540</v>
          </cell>
        </row>
        <row r="117">
          <cell r="D117">
            <v>540</v>
          </cell>
          <cell r="E117">
            <v>54</v>
          </cell>
        </row>
        <row r="118">
          <cell r="D118">
            <v>810</v>
          </cell>
          <cell r="E118">
            <v>81</v>
          </cell>
        </row>
        <row r="119">
          <cell r="D119">
            <v>1183.5</v>
          </cell>
          <cell r="E119">
            <v>118.35000000000001</v>
          </cell>
        </row>
        <row r="120">
          <cell r="D120">
            <v>687</v>
          </cell>
          <cell r="E120">
            <v>137.4</v>
          </cell>
        </row>
        <row r="121">
          <cell r="D121">
            <v>187.5</v>
          </cell>
          <cell r="E121">
            <v>18.75</v>
          </cell>
        </row>
        <row r="122">
          <cell r="D122">
            <v>2125</v>
          </cell>
          <cell r="E122">
            <v>212.5</v>
          </cell>
        </row>
        <row r="123">
          <cell r="D123">
            <v>1576</v>
          </cell>
          <cell r="E123">
            <v>157.60000000000002</v>
          </cell>
        </row>
        <row r="124">
          <cell r="D124">
            <v>2593</v>
          </cell>
          <cell r="E124">
            <v>259.3</v>
          </cell>
        </row>
        <row r="125">
          <cell r="D125">
            <v>2416</v>
          </cell>
          <cell r="E125">
            <v>241.60000000000002</v>
          </cell>
        </row>
        <row r="126">
          <cell r="D126">
            <v>1097.5</v>
          </cell>
          <cell r="E126">
            <v>219.5</v>
          </cell>
        </row>
        <row r="127">
          <cell r="D127">
            <v>967</v>
          </cell>
          <cell r="E127">
            <v>96.7</v>
          </cell>
        </row>
        <row r="128">
          <cell r="D128">
            <v>934</v>
          </cell>
          <cell r="E128">
            <v>93.4</v>
          </cell>
        </row>
        <row r="129">
          <cell r="D129">
            <v>434.5</v>
          </cell>
          <cell r="E129">
            <v>43.45</v>
          </cell>
        </row>
        <row r="130">
          <cell r="D130">
            <v>2131</v>
          </cell>
          <cell r="E130">
            <v>426.20000000000005</v>
          </cell>
        </row>
        <row r="131">
          <cell r="D131">
            <v>1753</v>
          </cell>
          <cell r="E131">
            <v>175.3</v>
          </cell>
        </row>
        <row r="132">
          <cell r="D132">
            <v>4090</v>
          </cell>
          <cell r="E132">
            <v>409</v>
          </cell>
        </row>
        <row r="133">
          <cell r="D133">
            <v>2950</v>
          </cell>
          <cell r="E133">
            <v>295</v>
          </cell>
        </row>
        <row r="134">
          <cell r="D134">
            <v>3550</v>
          </cell>
          <cell r="E134">
            <v>355</v>
          </cell>
        </row>
        <row r="135">
          <cell r="D135">
            <v>7000</v>
          </cell>
          <cell r="E135">
            <v>1400</v>
          </cell>
        </row>
        <row r="136">
          <cell r="D136">
            <v>5650</v>
          </cell>
          <cell r="E136">
            <v>565</v>
          </cell>
        </row>
        <row r="137">
          <cell r="D137">
            <v>790</v>
          </cell>
          <cell r="E137">
            <v>158</v>
          </cell>
        </row>
        <row r="138">
          <cell r="D138">
            <v>1060</v>
          </cell>
          <cell r="E138">
            <v>106</v>
          </cell>
        </row>
        <row r="139">
          <cell r="D139">
            <v>1433.5</v>
          </cell>
          <cell r="E139">
            <v>286.7</v>
          </cell>
        </row>
        <row r="140">
          <cell r="D140">
            <v>937</v>
          </cell>
          <cell r="E140">
            <v>187.4</v>
          </cell>
        </row>
        <row r="141">
          <cell r="D141">
            <v>437.5</v>
          </cell>
          <cell r="E141">
            <v>43.75</v>
          </cell>
        </row>
        <row r="142">
          <cell r="D142">
            <v>1375</v>
          </cell>
          <cell r="E142">
            <v>137.5</v>
          </cell>
        </row>
        <row r="143">
          <cell r="D143">
            <v>826</v>
          </cell>
          <cell r="E143">
            <v>165.20000000000002</v>
          </cell>
        </row>
        <row r="144">
          <cell r="D144">
            <v>1843</v>
          </cell>
          <cell r="E144">
            <v>184.3</v>
          </cell>
        </row>
        <row r="145">
          <cell r="D145">
            <v>1666</v>
          </cell>
          <cell r="E145">
            <v>166.60000000000002</v>
          </cell>
        </row>
        <row r="146">
          <cell r="D146">
            <v>347.5</v>
          </cell>
          <cell r="E146">
            <v>34.75</v>
          </cell>
        </row>
        <row r="147">
          <cell r="D147">
            <v>217</v>
          </cell>
          <cell r="E147">
            <v>21.700000000000003</v>
          </cell>
        </row>
        <row r="148">
          <cell r="D148">
            <v>184</v>
          </cell>
          <cell r="E148">
            <v>18.400000000000002</v>
          </cell>
        </row>
        <row r="149">
          <cell r="D149">
            <v>315</v>
          </cell>
          <cell r="E149">
            <v>63</v>
          </cell>
        </row>
        <row r="150">
          <cell r="D150">
            <v>1381</v>
          </cell>
          <cell r="E150">
            <v>138.1</v>
          </cell>
        </row>
        <row r="151">
          <cell r="D151">
            <v>1003</v>
          </cell>
          <cell r="E151">
            <v>200.60000000000002</v>
          </cell>
        </row>
        <row r="152">
          <cell r="D152">
            <v>3340</v>
          </cell>
          <cell r="E152">
            <v>334</v>
          </cell>
        </row>
        <row r="153">
          <cell r="D153">
            <v>2200</v>
          </cell>
          <cell r="E153">
            <v>440</v>
          </cell>
        </row>
        <row r="154">
          <cell r="D154">
            <v>2800</v>
          </cell>
          <cell r="E154">
            <v>560</v>
          </cell>
        </row>
        <row r="155">
          <cell r="D155">
            <v>6250</v>
          </cell>
          <cell r="E155">
            <v>625</v>
          </cell>
        </row>
        <row r="156">
          <cell r="D156">
            <v>4900</v>
          </cell>
          <cell r="E156">
            <v>490</v>
          </cell>
        </row>
        <row r="157">
          <cell r="D157">
            <v>40</v>
          </cell>
          <cell r="E157">
            <v>8</v>
          </cell>
        </row>
        <row r="158">
          <cell r="D158">
            <v>310</v>
          </cell>
          <cell r="E158">
            <v>31</v>
          </cell>
        </row>
        <row r="159">
          <cell r="D159">
            <v>683.5</v>
          </cell>
          <cell r="E159">
            <v>68.350000000000009</v>
          </cell>
        </row>
        <row r="160">
          <cell r="D160">
            <v>187</v>
          </cell>
          <cell r="E160">
            <v>18.7</v>
          </cell>
        </row>
        <row r="161">
          <cell r="D161">
            <v>3500</v>
          </cell>
          <cell r="E161">
            <v>350</v>
          </cell>
        </row>
        <row r="162">
          <cell r="D162">
            <v>1875</v>
          </cell>
          <cell r="E162">
            <v>187.5</v>
          </cell>
        </row>
        <row r="163">
          <cell r="D163">
            <v>1326</v>
          </cell>
          <cell r="E163">
            <v>265.2</v>
          </cell>
        </row>
        <row r="164">
          <cell r="D164">
            <v>2343</v>
          </cell>
          <cell r="E164">
            <v>468.6</v>
          </cell>
        </row>
        <row r="165">
          <cell r="D165">
            <v>2166</v>
          </cell>
          <cell r="E165">
            <v>216.60000000000002</v>
          </cell>
        </row>
        <row r="166">
          <cell r="D166">
            <v>847.5</v>
          </cell>
          <cell r="E166">
            <v>84.75</v>
          </cell>
        </row>
        <row r="167">
          <cell r="D167">
            <v>717</v>
          </cell>
          <cell r="E167">
            <v>143.4</v>
          </cell>
        </row>
        <row r="168">
          <cell r="D168">
            <v>684</v>
          </cell>
          <cell r="E168">
            <v>68.400000000000006</v>
          </cell>
        </row>
        <row r="169">
          <cell r="D169">
            <v>184.5</v>
          </cell>
          <cell r="E169">
            <v>18.45</v>
          </cell>
        </row>
        <row r="170">
          <cell r="D170">
            <v>1881</v>
          </cell>
          <cell r="E170">
            <v>188.10000000000002</v>
          </cell>
        </row>
        <row r="171">
          <cell r="D171">
            <v>1503</v>
          </cell>
          <cell r="E171">
            <v>150.30000000000001</v>
          </cell>
        </row>
        <row r="172">
          <cell r="D172">
            <v>3840</v>
          </cell>
          <cell r="E172">
            <v>768</v>
          </cell>
        </row>
        <row r="173">
          <cell r="D173">
            <v>2700</v>
          </cell>
          <cell r="E173">
            <v>540</v>
          </cell>
        </row>
        <row r="174">
          <cell r="D174">
            <v>3300</v>
          </cell>
          <cell r="E174">
            <v>330</v>
          </cell>
        </row>
        <row r="175">
          <cell r="D175">
            <v>6750</v>
          </cell>
          <cell r="E175">
            <v>675</v>
          </cell>
        </row>
        <row r="176">
          <cell r="D176">
            <v>5400</v>
          </cell>
          <cell r="E176">
            <v>1080</v>
          </cell>
        </row>
        <row r="177">
          <cell r="D177">
            <v>540</v>
          </cell>
          <cell r="E177">
            <v>54</v>
          </cell>
        </row>
        <row r="178">
          <cell r="D178">
            <v>810</v>
          </cell>
          <cell r="E178">
            <v>81</v>
          </cell>
        </row>
        <row r="179">
          <cell r="D179">
            <v>1183.5</v>
          </cell>
          <cell r="E179">
            <v>118.35000000000001</v>
          </cell>
        </row>
        <row r="180">
          <cell r="D180">
            <v>687</v>
          </cell>
          <cell r="E180">
            <v>137.4</v>
          </cell>
        </row>
        <row r="181">
          <cell r="D181">
            <v>187.5</v>
          </cell>
          <cell r="E181">
            <v>37.5</v>
          </cell>
        </row>
        <row r="182">
          <cell r="D182">
            <v>2725</v>
          </cell>
          <cell r="E182">
            <v>272.5</v>
          </cell>
        </row>
        <row r="183">
          <cell r="D183">
            <v>2176</v>
          </cell>
          <cell r="E183">
            <v>217.60000000000002</v>
          </cell>
        </row>
        <row r="184">
          <cell r="D184">
            <v>3193</v>
          </cell>
          <cell r="E184">
            <v>638.6</v>
          </cell>
        </row>
        <row r="185">
          <cell r="D185">
            <v>3016</v>
          </cell>
          <cell r="E185">
            <v>301.60000000000002</v>
          </cell>
        </row>
        <row r="186">
          <cell r="D186">
            <v>1697.5</v>
          </cell>
          <cell r="E186">
            <v>169.75</v>
          </cell>
        </row>
        <row r="187">
          <cell r="D187">
            <v>1567</v>
          </cell>
          <cell r="E187">
            <v>313.40000000000003</v>
          </cell>
        </row>
        <row r="188">
          <cell r="D188">
            <v>1534</v>
          </cell>
          <cell r="E188">
            <v>306.8</v>
          </cell>
        </row>
        <row r="189">
          <cell r="D189">
            <v>1034.5</v>
          </cell>
          <cell r="E189">
            <v>103.45</v>
          </cell>
        </row>
        <row r="190">
          <cell r="D190">
            <v>2731</v>
          </cell>
          <cell r="E190">
            <v>273.10000000000002</v>
          </cell>
        </row>
        <row r="191">
          <cell r="D191">
            <v>2353</v>
          </cell>
          <cell r="E191">
            <v>235.3</v>
          </cell>
        </row>
        <row r="192">
          <cell r="D192">
            <v>4690</v>
          </cell>
          <cell r="E192">
            <v>938</v>
          </cell>
        </row>
        <row r="193">
          <cell r="D193">
            <v>3550</v>
          </cell>
          <cell r="E193">
            <v>710</v>
          </cell>
        </row>
        <row r="194">
          <cell r="D194">
            <v>4150</v>
          </cell>
          <cell r="E194">
            <v>415</v>
          </cell>
        </row>
        <row r="195">
          <cell r="D195">
            <v>7600</v>
          </cell>
          <cell r="E195">
            <v>760</v>
          </cell>
        </row>
        <row r="196">
          <cell r="D196">
            <v>6250</v>
          </cell>
          <cell r="E196">
            <v>1250</v>
          </cell>
        </row>
        <row r="197">
          <cell r="D197">
            <v>1390</v>
          </cell>
          <cell r="E197">
            <v>139</v>
          </cell>
        </row>
        <row r="198">
          <cell r="D198">
            <v>1660</v>
          </cell>
          <cell r="E198">
            <v>166</v>
          </cell>
        </row>
        <row r="199">
          <cell r="D199">
            <v>2033.5</v>
          </cell>
          <cell r="E199">
            <v>203.35000000000002</v>
          </cell>
        </row>
        <row r="200">
          <cell r="D200">
            <v>1537</v>
          </cell>
          <cell r="E200">
            <v>153.70000000000002</v>
          </cell>
        </row>
        <row r="201">
          <cell r="D201">
            <v>1037.5</v>
          </cell>
          <cell r="E201">
            <v>207.5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Odkazy"/>
      <sheetName val="ABS Odkazy I"/>
      <sheetName val="Obsah 2"/>
      <sheetName val="Fce I"/>
      <sheetName val="řazení I"/>
      <sheetName val="řazení II"/>
      <sheetName val="řady"/>
      <sheetName val="Operátory"/>
      <sheetName val="mocnina"/>
      <sheetName val="Text"/>
      <sheetName val="Když"/>
      <sheetName val="DPH"/>
      <sheetName val="Zaokr"/>
      <sheetName val="řazení"/>
      <sheetName val="RČ-kdy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D2">
            <v>1250</v>
          </cell>
          <cell r="E2">
            <v>125</v>
          </cell>
        </row>
        <row r="3">
          <cell r="D3">
            <v>884</v>
          </cell>
          <cell r="E3">
            <v>176.8</v>
          </cell>
        </row>
        <row r="4">
          <cell r="D4">
            <v>1562</v>
          </cell>
          <cell r="E4">
            <v>156.20000000000002</v>
          </cell>
        </row>
        <row r="5">
          <cell r="D5">
            <v>1444</v>
          </cell>
          <cell r="E5">
            <v>144.4</v>
          </cell>
        </row>
        <row r="6">
          <cell r="D6">
            <v>565</v>
          </cell>
          <cell r="E6">
            <v>113</v>
          </cell>
        </row>
        <row r="7">
          <cell r="D7">
            <v>478</v>
          </cell>
          <cell r="E7">
            <v>95.600000000000009</v>
          </cell>
        </row>
        <row r="8">
          <cell r="D8">
            <v>456</v>
          </cell>
          <cell r="E8">
            <v>45.6</v>
          </cell>
        </row>
        <row r="9">
          <cell r="D9">
            <v>123</v>
          </cell>
          <cell r="E9">
            <v>12.3</v>
          </cell>
        </row>
        <row r="10">
          <cell r="D10">
            <v>1254</v>
          </cell>
          <cell r="E10">
            <v>250.8</v>
          </cell>
        </row>
        <row r="11">
          <cell r="D11">
            <v>1002</v>
          </cell>
          <cell r="E11">
            <v>100.2</v>
          </cell>
        </row>
        <row r="12">
          <cell r="D12">
            <v>2560</v>
          </cell>
          <cell r="E12">
            <v>512</v>
          </cell>
        </row>
        <row r="13">
          <cell r="D13">
            <v>1800</v>
          </cell>
          <cell r="E13">
            <v>180</v>
          </cell>
        </row>
        <row r="14">
          <cell r="D14">
            <v>2200</v>
          </cell>
          <cell r="E14">
            <v>440</v>
          </cell>
        </row>
        <row r="15">
          <cell r="D15">
            <v>4500</v>
          </cell>
          <cell r="E15">
            <v>900</v>
          </cell>
        </row>
        <row r="16">
          <cell r="D16">
            <v>3600</v>
          </cell>
          <cell r="E16">
            <v>720</v>
          </cell>
        </row>
        <row r="17">
          <cell r="D17">
            <v>360</v>
          </cell>
          <cell r="E17">
            <v>72</v>
          </cell>
        </row>
        <row r="18">
          <cell r="D18">
            <v>540</v>
          </cell>
          <cell r="E18">
            <v>108</v>
          </cell>
        </row>
        <row r="19">
          <cell r="D19">
            <v>789</v>
          </cell>
          <cell r="E19">
            <v>78.900000000000006</v>
          </cell>
        </row>
        <row r="20">
          <cell r="D20">
            <v>458</v>
          </cell>
          <cell r="E20">
            <v>45.800000000000004</v>
          </cell>
        </row>
        <row r="21">
          <cell r="D21">
            <v>125</v>
          </cell>
          <cell r="E21">
            <v>25</v>
          </cell>
        </row>
        <row r="22">
          <cell r="D22">
            <v>2500</v>
          </cell>
          <cell r="E22">
            <v>250</v>
          </cell>
        </row>
        <row r="23">
          <cell r="D23">
            <v>1768</v>
          </cell>
          <cell r="E23">
            <v>176.8</v>
          </cell>
        </row>
        <row r="24">
          <cell r="D24">
            <v>3124</v>
          </cell>
          <cell r="E24">
            <v>312.40000000000003</v>
          </cell>
        </row>
        <row r="25">
          <cell r="D25">
            <v>2888</v>
          </cell>
          <cell r="E25">
            <v>577.6</v>
          </cell>
        </row>
        <row r="26">
          <cell r="D26">
            <v>1130</v>
          </cell>
          <cell r="E26">
            <v>113</v>
          </cell>
        </row>
        <row r="27">
          <cell r="D27">
            <v>956</v>
          </cell>
          <cell r="E27">
            <v>95.600000000000009</v>
          </cell>
        </row>
        <row r="28">
          <cell r="D28">
            <v>912</v>
          </cell>
          <cell r="E28">
            <v>91.2</v>
          </cell>
        </row>
        <row r="29">
          <cell r="D29">
            <v>246</v>
          </cell>
          <cell r="E29">
            <v>49.2</v>
          </cell>
        </row>
        <row r="30">
          <cell r="D30">
            <v>2508</v>
          </cell>
          <cell r="E30">
            <v>501.6</v>
          </cell>
        </row>
        <row r="31">
          <cell r="D31">
            <v>2004</v>
          </cell>
          <cell r="E31">
            <v>200.4</v>
          </cell>
        </row>
        <row r="32">
          <cell r="D32">
            <v>5120</v>
          </cell>
          <cell r="E32">
            <v>512</v>
          </cell>
        </row>
        <row r="33">
          <cell r="D33">
            <v>3600</v>
          </cell>
          <cell r="E33">
            <v>720</v>
          </cell>
        </row>
        <row r="34">
          <cell r="D34">
            <v>4400</v>
          </cell>
          <cell r="E34">
            <v>440</v>
          </cell>
        </row>
        <row r="35">
          <cell r="D35">
            <v>9000</v>
          </cell>
          <cell r="E35">
            <v>1800</v>
          </cell>
        </row>
        <row r="36">
          <cell r="D36">
            <v>7200</v>
          </cell>
          <cell r="E36">
            <v>720</v>
          </cell>
        </row>
        <row r="37">
          <cell r="D37">
            <v>720</v>
          </cell>
          <cell r="E37">
            <v>144</v>
          </cell>
        </row>
        <row r="38">
          <cell r="D38">
            <v>1080</v>
          </cell>
          <cell r="E38">
            <v>216</v>
          </cell>
        </row>
        <row r="39">
          <cell r="D39">
            <v>1578</v>
          </cell>
          <cell r="E39">
            <v>157.80000000000001</v>
          </cell>
        </row>
        <row r="40">
          <cell r="D40">
            <v>916</v>
          </cell>
          <cell r="E40">
            <v>91.600000000000009</v>
          </cell>
        </row>
        <row r="41">
          <cell r="D41">
            <v>250</v>
          </cell>
          <cell r="E41">
            <v>50</v>
          </cell>
        </row>
        <row r="42">
          <cell r="D42">
            <v>2500</v>
          </cell>
          <cell r="E42">
            <v>250</v>
          </cell>
        </row>
        <row r="43">
          <cell r="D43">
            <v>1768</v>
          </cell>
          <cell r="E43">
            <v>176.8</v>
          </cell>
        </row>
        <row r="44">
          <cell r="D44">
            <v>3124</v>
          </cell>
          <cell r="E44">
            <v>312.40000000000003</v>
          </cell>
        </row>
        <row r="45">
          <cell r="D45">
            <v>2888</v>
          </cell>
          <cell r="E45">
            <v>288.8</v>
          </cell>
        </row>
        <row r="46">
          <cell r="D46">
            <v>1130</v>
          </cell>
          <cell r="E46">
            <v>113</v>
          </cell>
        </row>
        <row r="47">
          <cell r="D47">
            <v>956</v>
          </cell>
          <cell r="E47">
            <v>95.600000000000009</v>
          </cell>
        </row>
        <row r="48">
          <cell r="D48">
            <v>912</v>
          </cell>
          <cell r="E48">
            <v>182.4</v>
          </cell>
        </row>
        <row r="49">
          <cell r="D49">
            <v>246</v>
          </cell>
          <cell r="E49">
            <v>49.2</v>
          </cell>
        </row>
        <row r="50">
          <cell r="D50">
            <v>2508</v>
          </cell>
          <cell r="E50">
            <v>250.8</v>
          </cell>
        </row>
        <row r="51">
          <cell r="D51">
            <v>2004</v>
          </cell>
          <cell r="E51">
            <v>200.4</v>
          </cell>
        </row>
        <row r="52">
          <cell r="D52">
            <v>5120</v>
          </cell>
          <cell r="E52">
            <v>1024</v>
          </cell>
        </row>
        <row r="53">
          <cell r="D53">
            <v>3600</v>
          </cell>
          <cell r="E53">
            <v>360</v>
          </cell>
        </row>
        <row r="54">
          <cell r="D54">
            <v>4400</v>
          </cell>
          <cell r="E54">
            <v>880</v>
          </cell>
        </row>
        <row r="55">
          <cell r="D55">
            <v>9000</v>
          </cell>
          <cell r="E55">
            <v>900</v>
          </cell>
        </row>
        <row r="56">
          <cell r="D56">
            <v>7200</v>
          </cell>
          <cell r="E56">
            <v>1440</v>
          </cell>
        </row>
        <row r="57">
          <cell r="D57">
            <v>720</v>
          </cell>
          <cell r="E57">
            <v>144</v>
          </cell>
        </row>
        <row r="58">
          <cell r="D58">
            <v>1080</v>
          </cell>
          <cell r="E58">
            <v>108</v>
          </cell>
        </row>
        <row r="59">
          <cell r="D59">
            <v>1578</v>
          </cell>
          <cell r="E59">
            <v>157.80000000000001</v>
          </cell>
        </row>
        <row r="60">
          <cell r="D60">
            <v>916</v>
          </cell>
          <cell r="E60">
            <v>183.20000000000002</v>
          </cell>
        </row>
        <row r="61">
          <cell r="D61">
            <v>250</v>
          </cell>
          <cell r="E61">
            <v>25</v>
          </cell>
        </row>
        <row r="62">
          <cell r="D62">
            <v>312.5</v>
          </cell>
          <cell r="E62">
            <v>31.25</v>
          </cell>
        </row>
        <row r="63">
          <cell r="D63">
            <v>221</v>
          </cell>
          <cell r="E63">
            <v>22.1</v>
          </cell>
        </row>
        <row r="64">
          <cell r="D64">
            <v>390.5</v>
          </cell>
          <cell r="E64">
            <v>39.050000000000004</v>
          </cell>
        </row>
        <row r="65">
          <cell r="D65">
            <v>361</v>
          </cell>
          <cell r="E65">
            <v>72.2</v>
          </cell>
        </row>
        <row r="66">
          <cell r="D66">
            <v>141.25</v>
          </cell>
          <cell r="E66">
            <v>28.25</v>
          </cell>
        </row>
        <row r="67">
          <cell r="D67">
            <v>119.5</v>
          </cell>
          <cell r="E67">
            <v>11.950000000000001</v>
          </cell>
        </row>
        <row r="68">
          <cell r="D68">
            <v>114</v>
          </cell>
          <cell r="E68">
            <v>11.4</v>
          </cell>
        </row>
        <row r="69">
          <cell r="D69">
            <v>30.75</v>
          </cell>
          <cell r="E69">
            <v>6.15</v>
          </cell>
        </row>
        <row r="70">
          <cell r="D70">
            <v>313.5</v>
          </cell>
          <cell r="E70">
            <v>31.35</v>
          </cell>
        </row>
        <row r="71">
          <cell r="D71">
            <v>250.5</v>
          </cell>
          <cell r="E71">
            <v>50.1</v>
          </cell>
        </row>
        <row r="72">
          <cell r="D72">
            <v>640</v>
          </cell>
          <cell r="E72">
            <v>64</v>
          </cell>
        </row>
        <row r="73">
          <cell r="D73">
            <v>450</v>
          </cell>
          <cell r="E73">
            <v>90</v>
          </cell>
        </row>
        <row r="74">
          <cell r="D74">
            <v>550</v>
          </cell>
          <cell r="E74">
            <v>110</v>
          </cell>
        </row>
        <row r="75">
          <cell r="D75">
            <v>1125</v>
          </cell>
          <cell r="E75">
            <v>112.5</v>
          </cell>
        </row>
        <row r="76">
          <cell r="D76">
            <v>900</v>
          </cell>
          <cell r="E76">
            <v>90</v>
          </cell>
        </row>
        <row r="77">
          <cell r="D77">
            <v>90</v>
          </cell>
          <cell r="E77">
            <v>18</v>
          </cell>
        </row>
        <row r="78">
          <cell r="D78">
            <v>135</v>
          </cell>
          <cell r="E78">
            <v>13.5</v>
          </cell>
        </row>
        <row r="79">
          <cell r="D79">
            <v>197.25</v>
          </cell>
          <cell r="E79">
            <v>19.725000000000001</v>
          </cell>
        </row>
        <row r="80">
          <cell r="D80">
            <v>114.5</v>
          </cell>
          <cell r="E80">
            <v>11.450000000000001</v>
          </cell>
        </row>
        <row r="81">
          <cell r="D81">
            <v>31.25</v>
          </cell>
          <cell r="E81">
            <v>3.125</v>
          </cell>
        </row>
        <row r="82">
          <cell r="D82">
            <v>1562.5</v>
          </cell>
          <cell r="E82">
            <v>156.25</v>
          </cell>
        </row>
        <row r="83">
          <cell r="D83">
            <v>1105</v>
          </cell>
          <cell r="E83">
            <v>221</v>
          </cell>
        </row>
        <row r="84">
          <cell r="D84">
            <v>1952.5</v>
          </cell>
          <cell r="E84">
            <v>390.5</v>
          </cell>
        </row>
        <row r="85">
          <cell r="D85">
            <v>1805</v>
          </cell>
          <cell r="E85">
            <v>180.5</v>
          </cell>
        </row>
        <row r="86">
          <cell r="D86">
            <v>706.25</v>
          </cell>
          <cell r="E86">
            <v>70.625</v>
          </cell>
        </row>
        <row r="87">
          <cell r="D87">
            <v>597.5</v>
          </cell>
          <cell r="E87">
            <v>119.5</v>
          </cell>
        </row>
        <row r="88">
          <cell r="D88">
            <v>570</v>
          </cell>
          <cell r="E88">
            <v>57</v>
          </cell>
        </row>
        <row r="89">
          <cell r="D89">
            <v>153.75</v>
          </cell>
          <cell r="E89">
            <v>30.75</v>
          </cell>
        </row>
        <row r="90">
          <cell r="D90">
            <v>1567.5</v>
          </cell>
          <cell r="E90">
            <v>156.75</v>
          </cell>
        </row>
        <row r="91">
          <cell r="D91">
            <v>1252.5</v>
          </cell>
          <cell r="E91">
            <v>250.5</v>
          </cell>
        </row>
        <row r="92">
          <cell r="D92">
            <v>3200</v>
          </cell>
          <cell r="E92">
            <v>640</v>
          </cell>
        </row>
        <row r="93">
          <cell r="D93">
            <v>2250</v>
          </cell>
          <cell r="E93">
            <v>225</v>
          </cell>
        </row>
        <row r="94">
          <cell r="D94">
            <v>2750</v>
          </cell>
          <cell r="E94">
            <v>275</v>
          </cell>
        </row>
        <row r="95">
          <cell r="D95">
            <v>5625</v>
          </cell>
          <cell r="E95">
            <v>1125</v>
          </cell>
        </row>
        <row r="96">
          <cell r="D96">
            <v>4500</v>
          </cell>
          <cell r="E96">
            <v>450</v>
          </cell>
        </row>
        <row r="97">
          <cell r="D97">
            <v>450</v>
          </cell>
          <cell r="E97">
            <v>45</v>
          </cell>
        </row>
        <row r="98">
          <cell r="D98">
            <v>675</v>
          </cell>
          <cell r="E98">
            <v>67.5</v>
          </cell>
        </row>
        <row r="99">
          <cell r="D99">
            <v>986.25</v>
          </cell>
          <cell r="E99">
            <v>98.625</v>
          </cell>
        </row>
        <row r="100">
          <cell r="D100">
            <v>572.5</v>
          </cell>
          <cell r="E100">
            <v>57.25</v>
          </cell>
        </row>
        <row r="101">
          <cell r="D101">
            <v>156.25</v>
          </cell>
          <cell r="E101">
            <v>15.625</v>
          </cell>
        </row>
        <row r="102">
          <cell r="D102">
            <v>1875</v>
          </cell>
          <cell r="E102">
            <v>375</v>
          </cell>
        </row>
        <row r="103">
          <cell r="D103">
            <v>1326</v>
          </cell>
          <cell r="E103">
            <v>265.2</v>
          </cell>
        </row>
        <row r="104">
          <cell r="D104">
            <v>2343</v>
          </cell>
          <cell r="E104">
            <v>234.3</v>
          </cell>
        </row>
        <row r="105">
          <cell r="D105">
            <v>2166</v>
          </cell>
          <cell r="E105">
            <v>216.60000000000002</v>
          </cell>
        </row>
        <row r="106">
          <cell r="D106">
            <v>847.5</v>
          </cell>
          <cell r="E106">
            <v>169.5</v>
          </cell>
        </row>
        <row r="107">
          <cell r="D107">
            <v>717</v>
          </cell>
          <cell r="E107">
            <v>71.7</v>
          </cell>
        </row>
        <row r="108">
          <cell r="D108">
            <v>684</v>
          </cell>
          <cell r="E108">
            <v>136.80000000000001</v>
          </cell>
        </row>
        <row r="109">
          <cell r="D109">
            <v>184.5</v>
          </cell>
          <cell r="E109">
            <v>18.45</v>
          </cell>
        </row>
        <row r="110">
          <cell r="D110">
            <v>1881</v>
          </cell>
          <cell r="E110">
            <v>376.20000000000005</v>
          </cell>
        </row>
        <row r="111">
          <cell r="D111">
            <v>1503</v>
          </cell>
          <cell r="E111">
            <v>300.60000000000002</v>
          </cell>
        </row>
        <row r="112">
          <cell r="D112">
            <v>3840</v>
          </cell>
          <cell r="E112">
            <v>384</v>
          </cell>
        </row>
        <row r="113">
          <cell r="D113">
            <v>2700</v>
          </cell>
          <cell r="E113">
            <v>270</v>
          </cell>
        </row>
        <row r="114">
          <cell r="D114">
            <v>3300</v>
          </cell>
          <cell r="E114">
            <v>660</v>
          </cell>
        </row>
        <row r="115">
          <cell r="D115">
            <v>6750</v>
          </cell>
          <cell r="E115">
            <v>675</v>
          </cell>
        </row>
        <row r="116">
          <cell r="D116">
            <v>5400</v>
          </cell>
          <cell r="E116">
            <v>540</v>
          </cell>
        </row>
        <row r="117">
          <cell r="D117">
            <v>540</v>
          </cell>
          <cell r="E117">
            <v>54</v>
          </cell>
        </row>
        <row r="118">
          <cell r="D118">
            <v>810</v>
          </cell>
          <cell r="E118">
            <v>81</v>
          </cell>
        </row>
        <row r="119">
          <cell r="D119">
            <v>1183.5</v>
          </cell>
          <cell r="E119">
            <v>118.35000000000001</v>
          </cell>
        </row>
        <row r="120">
          <cell r="D120">
            <v>687</v>
          </cell>
          <cell r="E120">
            <v>137.4</v>
          </cell>
        </row>
        <row r="121">
          <cell r="D121">
            <v>187.5</v>
          </cell>
          <cell r="E121">
            <v>18.75</v>
          </cell>
        </row>
        <row r="122">
          <cell r="D122">
            <v>2125</v>
          </cell>
          <cell r="E122">
            <v>212.5</v>
          </cell>
        </row>
        <row r="123">
          <cell r="D123">
            <v>1576</v>
          </cell>
          <cell r="E123">
            <v>157.60000000000002</v>
          </cell>
        </row>
        <row r="124">
          <cell r="D124">
            <v>2593</v>
          </cell>
          <cell r="E124">
            <v>259.3</v>
          </cell>
        </row>
        <row r="125">
          <cell r="D125">
            <v>2416</v>
          </cell>
          <cell r="E125">
            <v>241.60000000000002</v>
          </cell>
        </row>
        <row r="126">
          <cell r="D126">
            <v>1097.5</v>
          </cell>
          <cell r="E126">
            <v>219.5</v>
          </cell>
        </row>
        <row r="127">
          <cell r="D127">
            <v>967</v>
          </cell>
          <cell r="E127">
            <v>96.7</v>
          </cell>
        </row>
        <row r="128">
          <cell r="D128">
            <v>934</v>
          </cell>
          <cell r="E128">
            <v>93.4</v>
          </cell>
        </row>
        <row r="129">
          <cell r="D129">
            <v>434.5</v>
          </cell>
          <cell r="E129">
            <v>43.45</v>
          </cell>
        </row>
        <row r="130">
          <cell r="D130">
            <v>2131</v>
          </cell>
          <cell r="E130">
            <v>426.20000000000005</v>
          </cell>
        </row>
        <row r="131">
          <cell r="D131">
            <v>1753</v>
          </cell>
          <cell r="E131">
            <v>175.3</v>
          </cell>
        </row>
        <row r="132">
          <cell r="D132">
            <v>4090</v>
          </cell>
          <cell r="E132">
            <v>409</v>
          </cell>
        </row>
        <row r="133">
          <cell r="D133">
            <v>2950</v>
          </cell>
          <cell r="E133">
            <v>295</v>
          </cell>
        </row>
        <row r="134">
          <cell r="D134">
            <v>3550</v>
          </cell>
          <cell r="E134">
            <v>355</v>
          </cell>
        </row>
        <row r="135">
          <cell r="D135">
            <v>7000</v>
          </cell>
          <cell r="E135">
            <v>1400</v>
          </cell>
        </row>
        <row r="136">
          <cell r="D136">
            <v>5650</v>
          </cell>
          <cell r="E136">
            <v>565</v>
          </cell>
        </row>
        <row r="137">
          <cell r="D137">
            <v>790</v>
          </cell>
          <cell r="E137">
            <v>158</v>
          </cell>
        </row>
        <row r="138">
          <cell r="D138">
            <v>1060</v>
          </cell>
          <cell r="E138">
            <v>106</v>
          </cell>
        </row>
        <row r="139">
          <cell r="D139">
            <v>1433.5</v>
          </cell>
          <cell r="E139">
            <v>286.7</v>
          </cell>
        </row>
        <row r="140">
          <cell r="D140">
            <v>937</v>
          </cell>
          <cell r="E140">
            <v>187.4</v>
          </cell>
        </row>
        <row r="141">
          <cell r="D141">
            <v>437.5</v>
          </cell>
          <cell r="E141">
            <v>43.75</v>
          </cell>
        </row>
        <row r="142">
          <cell r="D142">
            <v>1375</v>
          </cell>
          <cell r="E142">
            <v>137.5</v>
          </cell>
        </row>
        <row r="143">
          <cell r="D143">
            <v>826</v>
          </cell>
          <cell r="E143">
            <v>165.20000000000002</v>
          </cell>
        </row>
        <row r="144">
          <cell r="D144">
            <v>1843</v>
          </cell>
          <cell r="E144">
            <v>184.3</v>
          </cell>
        </row>
        <row r="145">
          <cell r="D145">
            <v>1666</v>
          </cell>
          <cell r="E145">
            <v>166.60000000000002</v>
          </cell>
        </row>
        <row r="146">
          <cell r="D146">
            <v>347.5</v>
          </cell>
          <cell r="E146">
            <v>34.75</v>
          </cell>
        </row>
        <row r="147">
          <cell r="D147">
            <v>217</v>
          </cell>
          <cell r="E147">
            <v>21.700000000000003</v>
          </cell>
        </row>
        <row r="148">
          <cell r="D148">
            <v>184</v>
          </cell>
          <cell r="E148">
            <v>18.400000000000002</v>
          </cell>
        </row>
        <row r="149">
          <cell r="D149">
            <v>315</v>
          </cell>
          <cell r="E149">
            <v>63</v>
          </cell>
        </row>
        <row r="150">
          <cell r="D150">
            <v>1381</v>
          </cell>
          <cell r="E150">
            <v>138.1</v>
          </cell>
        </row>
        <row r="151">
          <cell r="D151">
            <v>1003</v>
          </cell>
          <cell r="E151">
            <v>200.60000000000002</v>
          </cell>
        </row>
        <row r="152">
          <cell r="D152">
            <v>3340</v>
          </cell>
          <cell r="E152">
            <v>334</v>
          </cell>
        </row>
        <row r="153">
          <cell r="D153">
            <v>2200</v>
          </cell>
          <cell r="E153">
            <v>440</v>
          </cell>
        </row>
        <row r="154">
          <cell r="D154">
            <v>2800</v>
          </cell>
          <cell r="E154">
            <v>560</v>
          </cell>
        </row>
        <row r="155">
          <cell r="D155">
            <v>6250</v>
          </cell>
          <cell r="E155">
            <v>625</v>
          </cell>
        </row>
        <row r="156">
          <cell r="D156">
            <v>4900</v>
          </cell>
          <cell r="E156">
            <v>490</v>
          </cell>
        </row>
        <row r="157">
          <cell r="D157">
            <v>40</v>
          </cell>
          <cell r="E157">
            <v>8</v>
          </cell>
        </row>
        <row r="158">
          <cell r="D158">
            <v>310</v>
          </cell>
          <cell r="E158">
            <v>31</v>
          </cell>
        </row>
        <row r="159">
          <cell r="D159">
            <v>683.5</v>
          </cell>
          <cell r="E159">
            <v>68.350000000000009</v>
          </cell>
        </row>
        <row r="160">
          <cell r="D160">
            <v>187</v>
          </cell>
          <cell r="E160">
            <v>18.7</v>
          </cell>
        </row>
        <row r="161">
          <cell r="D161">
            <v>3500</v>
          </cell>
          <cell r="E161">
            <v>350</v>
          </cell>
        </row>
        <row r="162">
          <cell r="D162">
            <v>1875</v>
          </cell>
          <cell r="E162">
            <v>187.5</v>
          </cell>
        </row>
        <row r="163">
          <cell r="D163">
            <v>1326</v>
          </cell>
          <cell r="E163">
            <v>265.2</v>
          </cell>
        </row>
        <row r="164">
          <cell r="D164">
            <v>2343</v>
          </cell>
          <cell r="E164">
            <v>468.6</v>
          </cell>
        </row>
        <row r="165">
          <cell r="D165">
            <v>2166</v>
          </cell>
          <cell r="E165">
            <v>216.60000000000002</v>
          </cell>
        </row>
        <row r="166">
          <cell r="D166">
            <v>847.5</v>
          </cell>
          <cell r="E166">
            <v>84.75</v>
          </cell>
        </row>
        <row r="167">
          <cell r="D167">
            <v>717</v>
          </cell>
          <cell r="E167">
            <v>143.4</v>
          </cell>
        </row>
        <row r="168">
          <cell r="D168">
            <v>684</v>
          </cell>
          <cell r="E168">
            <v>68.400000000000006</v>
          </cell>
        </row>
        <row r="169">
          <cell r="D169">
            <v>184.5</v>
          </cell>
          <cell r="E169">
            <v>18.45</v>
          </cell>
        </row>
        <row r="170">
          <cell r="D170">
            <v>1881</v>
          </cell>
          <cell r="E170">
            <v>188.10000000000002</v>
          </cell>
        </row>
        <row r="171">
          <cell r="D171">
            <v>1503</v>
          </cell>
          <cell r="E171">
            <v>150.30000000000001</v>
          </cell>
        </row>
        <row r="172">
          <cell r="D172">
            <v>3840</v>
          </cell>
          <cell r="E172">
            <v>768</v>
          </cell>
        </row>
        <row r="173">
          <cell r="D173">
            <v>2700</v>
          </cell>
          <cell r="E173">
            <v>540</v>
          </cell>
        </row>
        <row r="174">
          <cell r="D174">
            <v>3300</v>
          </cell>
          <cell r="E174">
            <v>330</v>
          </cell>
        </row>
        <row r="175">
          <cell r="D175">
            <v>6750</v>
          </cell>
          <cell r="E175">
            <v>675</v>
          </cell>
        </row>
        <row r="176">
          <cell r="D176">
            <v>5400</v>
          </cell>
          <cell r="E176">
            <v>1080</v>
          </cell>
        </row>
        <row r="177">
          <cell r="D177">
            <v>540</v>
          </cell>
          <cell r="E177">
            <v>54</v>
          </cell>
        </row>
        <row r="178">
          <cell r="D178">
            <v>810</v>
          </cell>
          <cell r="E178">
            <v>81</v>
          </cell>
        </row>
        <row r="179">
          <cell r="D179">
            <v>1183.5</v>
          </cell>
          <cell r="E179">
            <v>118.35000000000001</v>
          </cell>
        </row>
        <row r="180">
          <cell r="D180">
            <v>687</v>
          </cell>
          <cell r="E180">
            <v>137.4</v>
          </cell>
        </row>
        <row r="181">
          <cell r="D181">
            <v>187.5</v>
          </cell>
          <cell r="E181">
            <v>37.5</v>
          </cell>
        </row>
        <row r="182">
          <cell r="D182">
            <v>2725</v>
          </cell>
          <cell r="E182">
            <v>272.5</v>
          </cell>
        </row>
        <row r="183">
          <cell r="D183">
            <v>2176</v>
          </cell>
          <cell r="E183">
            <v>217.60000000000002</v>
          </cell>
        </row>
        <row r="184">
          <cell r="D184">
            <v>3193</v>
          </cell>
          <cell r="E184">
            <v>638.6</v>
          </cell>
        </row>
        <row r="185">
          <cell r="D185">
            <v>3016</v>
          </cell>
          <cell r="E185">
            <v>301.60000000000002</v>
          </cell>
        </row>
        <row r="186">
          <cell r="D186">
            <v>1697.5</v>
          </cell>
          <cell r="E186">
            <v>169.75</v>
          </cell>
        </row>
        <row r="187">
          <cell r="D187">
            <v>1567</v>
          </cell>
          <cell r="E187">
            <v>313.40000000000003</v>
          </cell>
        </row>
        <row r="188">
          <cell r="D188">
            <v>1534</v>
          </cell>
          <cell r="E188">
            <v>306.8</v>
          </cell>
        </row>
        <row r="189">
          <cell r="D189">
            <v>1034.5</v>
          </cell>
          <cell r="E189">
            <v>103.45</v>
          </cell>
        </row>
        <row r="190">
          <cell r="D190">
            <v>2731</v>
          </cell>
          <cell r="E190">
            <v>273.10000000000002</v>
          </cell>
        </row>
        <row r="191">
          <cell r="D191">
            <v>2353</v>
          </cell>
          <cell r="E191">
            <v>235.3</v>
          </cell>
        </row>
        <row r="192">
          <cell r="D192">
            <v>4690</v>
          </cell>
          <cell r="E192">
            <v>938</v>
          </cell>
        </row>
        <row r="193">
          <cell r="D193">
            <v>3550</v>
          </cell>
          <cell r="E193">
            <v>710</v>
          </cell>
        </row>
        <row r="194">
          <cell r="D194">
            <v>4150</v>
          </cell>
          <cell r="E194">
            <v>415</v>
          </cell>
        </row>
        <row r="195">
          <cell r="D195">
            <v>7600</v>
          </cell>
          <cell r="E195">
            <v>760</v>
          </cell>
        </row>
        <row r="196">
          <cell r="D196">
            <v>6250</v>
          </cell>
          <cell r="E196">
            <v>1250</v>
          </cell>
        </row>
        <row r="197">
          <cell r="D197">
            <v>1390</v>
          </cell>
          <cell r="E197">
            <v>139</v>
          </cell>
        </row>
        <row r="198">
          <cell r="D198">
            <v>1660</v>
          </cell>
          <cell r="E198">
            <v>166</v>
          </cell>
        </row>
        <row r="199">
          <cell r="D199">
            <v>2033.5</v>
          </cell>
          <cell r="E199">
            <v>203.35000000000002</v>
          </cell>
        </row>
        <row r="200">
          <cell r="D200">
            <v>1537</v>
          </cell>
          <cell r="E200">
            <v>153.70000000000002</v>
          </cell>
        </row>
        <row r="201">
          <cell r="D201">
            <v>1037.5</v>
          </cell>
          <cell r="E201">
            <v>207.5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Výroba_Březen"/>
      <sheetName val="Směna_3"/>
      <sheetName val="Porovnání"/>
      <sheetName val="Odvoz zeminy"/>
      <sheetName val="Objednávky"/>
      <sheetName val="Obraty"/>
      <sheetName val="Přepočty"/>
      <sheetName val="Příspěvky"/>
      <sheetName val="Bydliště_osob"/>
      <sheetName val="List3"/>
      <sheetName val="List4"/>
      <sheetName val="OSVČ_2014_KT"/>
      <sheetName val="OSVČ_2014"/>
      <sheetName val="Expedice"/>
      <sheetName val="KM_vyrese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34536</v>
          </cell>
          <cell r="H2">
            <v>397200</v>
          </cell>
          <cell r="Q2">
            <v>0.15</v>
          </cell>
        </row>
        <row r="3">
          <cell r="B3">
            <v>33992</v>
          </cell>
          <cell r="H3">
            <v>329200</v>
          </cell>
          <cell r="Q3">
            <v>24840</v>
          </cell>
        </row>
        <row r="4">
          <cell r="B4">
            <v>34068</v>
          </cell>
          <cell r="H4">
            <v>417300</v>
          </cell>
          <cell r="Q4">
            <v>42813</v>
          </cell>
        </row>
        <row r="5">
          <cell r="B5">
            <v>34075</v>
          </cell>
          <cell r="H5">
            <v>256900</v>
          </cell>
        </row>
        <row r="6">
          <cell r="B6">
            <v>34271</v>
          </cell>
          <cell r="H6">
            <v>185400</v>
          </cell>
        </row>
        <row r="7">
          <cell r="B7">
            <v>34087</v>
          </cell>
          <cell r="H7">
            <v>153800</v>
          </cell>
        </row>
        <row r="8">
          <cell r="B8">
            <v>33881</v>
          </cell>
          <cell r="H8">
            <v>228000</v>
          </cell>
        </row>
        <row r="9">
          <cell r="B9">
            <v>33727</v>
          </cell>
          <cell r="H9">
            <v>398200</v>
          </cell>
        </row>
        <row r="10">
          <cell r="B10">
            <v>33721</v>
          </cell>
          <cell r="H10">
            <v>343000</v>
          </cell>
        </row>
        <row r="11">
          <cell r="B11">
            <v>33287</v>
          </cell>
          <cell r="H11">
            <v>402600</v>
          </cell>
        </row>
        <row r="12">
          <cell r="B12">
            <v>33553</v>
          </cell>
          <cell r="H12">
            <v>311100</v>
          </cell>
        </row>
        <row r="13">
          <cell r="B13">
            <v>33009</v>
          </cell>
          <cell r="H13">
            <v>284000</v>
          </cell>
        </row>
        <row r="14">
          <cell r="B14">
            <v>33108</v>
          </cell>
          <cell r="H14">
            <v>220300</v>
          </cell>
        </row>
        <row r="15">
          <cell r="B15">
            <v>32707</v>
          </cell>
          <cell r="H15">
            <v>263500</v>
          </cell>
        </row>
        <row r="16">
          <cell r="B16">
            <v>32568</v>
          </cell>
          <cell r="H16">
            <v>437000</v>
          </cell>
        </row>
        <row r="17">
          <cell r="B17">
            <v>32547</v>
          </cell>
          <cell r="H17">
            <v>207700</v>
          </cell>
        </row>
        <row r="18">
          <cell r="B18">
            <v>32473</v>
          </cell>
          <cell r="H18">
            <v>313100</v>
          </cell>
        </row>
        <row r="19">
          <cell r="B19">
            <v>32305</v>
          </cell>
          <cell r="H19">
            <v>170900</v>
          </cell>
        </row>
        <row r="20">
          <cell r="B20">
            <v>31846</v>
          </cell>
          <cell r="H20">
            <v>379000</v>
          </cell>
        </row>
        <row r="21">
          <cell r="B21">
            <v>31792</v>
          </cell>
          <cell r="H21">
            <v>365400</v>
          </cell>
        </row>
        <row r="22">
          <cell r="B22">
            <v>31468</v>
          </cell>
          <cell r="H22">
            <v>192700</v>
          </cell>
        </row>
        <row r="23">
          <cell r="B23">
            <v>31635</v>
          </cell>
          <cell r="H23">
            <v>209100</v>
          </cell>
        </row>
        <row r="24">
          <cell r="B24">
            <v>31599</v>
          </cell>
          <cell r="H24">
            <v>458900</v>
          </cell>
        </row>
        <row r="25">
          <cell r="B25">
            <v>31249</v>
          </cell>
          <cell r="H25">
            <v>383600</v>
          </cell>
        </row>
        <row r="26">
          <cell r="B26">
            <v>31277</v>
          </cell>
          <cell r="H26">
            <v>229500</v>
          </cell>
        </row>
        <row r="27">
          <cell r="B27">
            <v>31153</v>
          </cell>
          <cell r="H27">
            <v>226200</v>
          </cell>
        </row>
        <row r="28">
          <cell r="B28">
            <v>30798</v>
          </cell>
          <cell r="H28">
            <v>198900</v>
          </cell>
        </row>
        <row r="29">
          <cell r="B29">
            <v>30326</v>
          </cell>
          <cell r="H29">
            <v>157400</v>
          </cell>
        </row>
        <row r="30">
          <cell r="B30">
            <v>30604</v>
          </cell>
          <cell r="H30">
            <v>455400</v>
          </cell>
        </row>
        <row r="31">
          <cell r="B31">
            <v>30073</v>
          </cell>
          <cell r="H31">
            <v>231400</v>
          </cell>
        </row>
        <row r="32">
          <cell r="B32">
            <v>29563</v>
          </cell>
          <cell r="H32">
            <v>177800</v>
          </cell>
        </row>
        <row r="33">
          <cell r="B33">
            <v>29313</v>
          </cell>
          <cell r="H33">
            <v>182400</v>
          </cell>
        </row>
        <row r="34">
          <cell r="B34">
            <v>28961</v>
          </cell>
          <cell r="H34">
            <v>402900</v>
          </cell>
        </row>
        <row r="35">
          <cell r="B35">
            <v>29179</v>
          </cell>
          <cell r="H35">
            <v>471000</v>
          </cell>
        </row>
        <row r="36">
          <cell r="B36">
            <v>29207</v>
          </cell>
          <cell r="H36">
            <v>172500</v>
          </cell>
        </row>
        <row r="37">
          <cell r="B37">
            <v>28888</v>
          </cell>
          <cell r="H37">
            <v>291900</v>
          </cell>
        </row>
        <row r="38">
          <cell r="B38">
            <v>29116</v>
          </cell>
          <cell r="H38">
            <v>405800</v>
          </cell>
        </row>
        <row r="39">
          <cell r="B39">
            <v>28762</v>
          </cell>
          <cell r="H39">
            <v>295100</v>
          </cell>
        </row>
        <row r="40">
          <cell r="B40">
            <v>28818</v>
          </cell>
          <cell r="H40">
            <v>265400</v>
          </cell>
        </row>
        <row r="41">
          <cell r="B41">
            <v>28600</v>
          </cell>
          <cell r="H41">
            <v>394000</v>
          </cell>
        </row>
        <row r="42">
          <cell r="B42">
            <v>28214</v>
          </cell>
          <cell r="H42">
            <v>148900</v>
          </cell>
        </row>
        <row r="43">
          <cell r="B43">
            <v>27926</v>
          </cell>
          <cell r="H43">
            <v>335700</v>
          </cell>
        </row>
        <row r="44">
          <cell r="B44">
            <v>27946</v>
          </cell>
          <cell r="H44">
            <v>233600</v>
          </cell>
        </row>
        <row r="45">
          <cell r="B45">
            <v>28106</v>
          </cell>
          <cell r="H45">
            <v>175900</v>
          </cell>
        </row>
        <row r="46">
          <cell r="B46">
            <v>27442</v>
          </cell>
          <cell r="H46">
            <v>251600</v>
          </cell>
        </row>
        <row r="47">
          <cell r="B47">
            <v>27457</v>
          </cell>
          <cell r="H47">
            <v>175700</v>
          </cell>
        </row>
        <row r="48">
          <cell r="B48">
            <v>27535</v>
          </cell>
          <cell r="H48">
            <v>466100</v>
          </cell>
        </row>
        <row r="49">
          <cell r="B49">
            <v>27237</v>
          </cell>
          <cell r="H49">
            <v>465400</v>
          </cell>
        </row>
        <row r="50">
          <cell r="B50">
            <v>27394</v>
          </cell>
          <cell r="H50">
            <v>194400</v>
          </cell>
        </row>
        <row r="51">
          <cell r="B51">
            <v>26900</v>
          </cell>
          <cell r="H51">
            <v>314500</v>
          </cell>
        </row>
        <row r="52">
          <cell r="B52">
            <v>26912</v>
          </cell>
          <cell r="H52">
            <v>246000</v>
          </cell>
        </row>
        <row r="53">
          <cell r="B53">
            <v>27024</v>
          </cell>
          <cell r="H53">
            <v>199400</v>
          </cell>
        </row>
        <row r="54">
          <cell r="B54">
            <v>26553</v>
          </cell>
          <cell r="H54">
            <v>210400</v>
          </cell>
        </row>
        <row r="55">
          <cell r="B55">
            <v>26381</v>
          </cell>
          <cell r="H55">
            <v>337600</v>
          </cell>
        </row>
        <row r="56">
          <cell r="B56">
            <v>26357</v>
          </cell>
          <cell r="H56">
            <v>186600</v>
          </cell>
        </row>
        <row r="57">
          <cell r="B57">
            <v>26023</v>
          </cell>
          <cell r="H57">
            <v>255000</v>
          </cell>
        </row>
        <row r="58">
          <cell r="B58">
            <v>25890</v>
          </cell>
          <cell r="H58">
            <v>499400</v>
          </cell>
        </row>
        <row r="59">
          <cell r="B59">
            <v>25748</v>
          </cell>
          <cell r="H59">
            <v>165700</v>
          </cell>
        </row>
        <row r="60">
          <cell r="B60">
            <v>25578</v>
          </cell>
          <cell r="H60">
            <v>225700</v>
          </cell>
        </row>
        <row r="61">
          <cell r="B61">
            <v>25378</v>
          </cell>
          <cell r="H61">
            <v>266100</v>
          </cell>
        </row>
        <row r="62">
          <cell r="B62">
            <v>25529</v>
          </cell>
          <cell r="H62">
            <v>167400</v>
          </cell>
        </row>
        <row r="63">
          <cell r="B63">
            <v>25313</v>
          </cell>
          <cell r="H63">
            <v>199900</v>
          </cell>
        </row>
        <row r="64">
          <cell r="B64">
            <v>25559</v>
          </cell>
          <cell r="H64">
            <v>214100</v>
          </cell>
        </row>
        <row r="65">
          <cell r="B65">
            <v>25222</v>
          </cell>
          <cell r="H65">
            <v>309100</v>
          </cell>
        </row>
        <row r="66">
          <cell r="B66">
            <v>25340</v>
          </cell>
          <cell r="H66">
            <v>375300</v>
          </cell>
        </row>
        <row r="67">
          <cell r="B67">
            <v>24538</v>
          </cell>
          <cell r="H67">
            <v>370600</v>
          </cell>
        </row>
        <row r="68">
          <cell r="B68">
            <v>24445</v>
          </cell>
          <cell r="H68">
            <v>251600</v>
          </cell>
        </row>
        <row r="69">
          <cell r="B69">
            <v>24258</v>
          </cell>
          <cell r="H69">
            <v>140600</v>
          </cell>
        </row>
        <row r="70">
          <cell r="B70">
            <v>23919</v>
          </cell>
          <cell r="H70">
            <v>271000</v>
          </cell>
        </row>
        <row r="71">
          <cell r="B71">
            <v>23754</v>
          </cell>
          <cell r="H71">
            <v>466400</v>
          </cell>
        </row>
        <row r="72">
          <cell r="B72">
            <v>23789</v>
          </cell>
          <cell r="H72">
            <v>419500</v>
          </cell>
        </row>
        <row r="73">
          <cell r="B73">
            <v>23675</v>
          </cell>
          <cell r="H73">
            <v>236600</v>
          </cell>
        </row>
        <row r="74">
          <cell r="B74">
            <v>23666</v>
          </cell>
          <cell r="H74">
            <v>440500</v>
          </cell>
        </row>
        <row r="75">
          <cell r="B75">
            <v>23493</v>
          </cell>
          <cell r="H75">
            <v>344500</v>
          </cell>
        </row>
        <row r="76">
          <cell r="B76">
            <v>23292</v>
          </cell>
          <cell r="H76">
            <v>312400</v>
          </cell>
        </row>
        <row r="77">
          <cell r="B77">
            <v>23157</v>
          </cell>
          <cell r="H77">
            <v>270000</v>
          </cell>
        </row>
        <row r="78">
          <cell r="B78">
            <v>23039</v>
          </cell>
          <cell r="H78">
            <v>262400</v>
          </cell>
        </row>
        <row r="79">
          <cell r="B79">
            <v>23041</v>
          </cell>
          <cell r="H79">
            <v>203800</v>
          </cell>
        </row>
        <row r="80">
          <cell r="B80">
            <v>22707</v>
          </cell>
          <cell r="H80">
            <v>328900</v>
          </cell>
        </row>
        <row r="81">
          <cell r="B81">
            <v>22919</v>
          </cell>
          <cell r="H81">
            <v>458100</v>
          </cell>
        </row>
        <row r="82">
          <cell r="B82">
            <v>22733</v>
          </cell>
          <cell r="H82">
            <v>419000</v>
          </cell>
        </row>
        <row r="83">
          <cell r="B83">
            <v>22837</v>
          </cell>
          <cell r="H83">
            <v>367800</v>
          </cell>
        </row>
        <row r="84">
          <cell r="B84">
            <v>22427</v>
          </cell>
          <cell r="H84">
            <v>216700</v>
          </cell>
        </row>
        <row r="85">
          <cell r="B85">
            <v>22412</v>
          </cell>
          <cell r="H85">
            <v>158600</v>
          </cell>
        </row>
        <row r="86">
          <cell r="B86">
            <v>22429</v>
          </cell>
          <cell r="H86">
            <v>286900</v>
          </cell>
        </row>
        <row r="87">
          <cell r="B87">
            <v>22201</v>
          </cell>
          <cell r="H87">
            <v>197400</v>
          </cell>
        </row>
        <row r="88">
          <cell r="B88">
            <v>22232</v>
          </cell>
          <cell r="H88">
            <v>317800</v>
          </cell>
        </row>
        <row r="89">
          <cell r="B89">
            <v>21876</v>
          </cell>
          <cell r="H89">
            <v>378000</v>
          </cell>
        </row>
        <row r="90">
          <cell r="B90">
            <v>21868</v>
          </cell>
          <cell r="H90">
            <v>299500</v>
          </cell>
        </row>
        <row r="91">
          <cell r="B91">
            <v>21327</v>
          </cell>
          <cell r="H91">
            <v>433200</v>
          </cell>
        </row>
        <row r="92">
          <cell r="B92">
            <v>21509</v>
          </cell>
          <cell r="H92">
            <v>235900</v>
          </cell>
        </row>
        <row r="93">
          <cell r="B93">
            <v>20909</v>
          </cell>
          <cell r="H93">
            <v>154500</v>
          </cell>
        </row>
        <row r="94">
          <cell r="B94">
            <v>20713</v>
          </cell>
          <cell r="H94">
            <v>261200</v>
          </cell>
        </row>
        <row r="95">
          <cell r="B95">
            <v>20820</v>
          </cell>
          <cell r="H95">
            <v>491900</v>
          </cell>
        </row>
        <row r="96">
          <cell r="B96">
            <v>20455</v>
          </cell>
          <cell r="H96">
            <v>374200</v>
          </cell>
        </row>
        <row r="97">
          <cell r="B97">
            <v>20814</v>
          </cell>
          <cell r="H97">
            <v>446300</v>
          </cell>
        </row>
        <row r="98">
          <cell r="B98">
            <v>20806</v>
          </cell>
          <cell r="H98">
            <v>277100</v>
          </cell>
        </row>
        <row r="99">
          <cell r="B99">
            <v>20374</v>
          </cell>
          <cell r="H99">
            <v>476500</v>
          </cell>
        </row>
        <row r="100">
          <cell r="B100">
            <v>20289</v>
          </cell>
          <cell r="H100">
            <v>207700</v>
          </cell>
        </row>
        <row r="101">
          <cell r="B101">
            <v>20389</v>
          </cell>
          <cell r="H101">
            <v>357900</v>
          </cell>
        </row>
      </sheetData>
      <sheetData sheetId="14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 2"/>
      <sheetName val="seznam"/>
      <sheetName val="mocnina"/>
      <sheetName val="Zaokr"/>
      <sheetName val="Text"/>
      <sheetName val="RČ"/>
      <sheetName val="DPH"/>
      <sheetName val="Prospěch"/>
      <sheetName val="COUNTIF"/>
      <sheetName val="RANK"/>
      <sheetName val="Velká"/>
      <sheetName val="RČ 2"/>
      <sheetName val="Když (2)"/>
      <sheetName val="Když"/>
    </sheetNames>
    <sheetDataSet>
      <sheetData sheetId="0"/>
      <sheetData sheetId="1">
        <row r="6">
          <cell r="J6">
            <v>20</v>
          </cell>
        </row>
        <row r="7">
          <cell r="J7">
            <v>40</v>
          </cell>
        </row>
        <row r="8">
          <cell r="J8">
            <v>60</v>
          </cell>
        </row>
        <row r="9">
          <cell r="J9">
            <v>80</v>
          </cell>
        </row>
        <row r="10">
          <cell r="J10">
            <v>100</v>
          </cell>
        </row>
        <row r="11">
          <cell r="J11">
            <v>120</v>
          </cell>
        </row>
        <row r="12">
          <cell r="J12">
            <v>140</v>
          </cell>
        </row>
        <row r="13">
          <cell r="J13">
            <v>160</v>
          </cell>
        </row>
        <row r="14">
          <cell r="J14">
            <v>180</v>
          </cell>
        </row>
        <row r="15">
          <cell r="J15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EXCEL_roz&#353;&#237;&#345;en&#237;_01_Sy.xlsm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EXCEL_roz&#353;&#237;&#345;en&#237;_01_Sy.xlsm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microsoft.com/office/2006/relationships/xlExternalLinkPath/xlPathMissing" Target="EXCEL_roz&#353;&#237;&#345;en&#237;_01_Sy.xlsm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2849.03215983796" createdVersion="6" refreshedVersion="6" minRefreshableVersion="3" recordCount="29">
  <cacheSource type="worksheet">
    <worksheetSource ref="A2:L31" sheet="KT2" r:id="rId2"/>
  </cacheSource>
  <cacheFields count="13">
    <cacheField name="M" numFmtId="0">
      <sharedItems containsSemiMixedTypes="0" containsString="0" containsNumber="1" containsInteger="1" minValue="0" maxValue="1"/>
    </cacheField>
    <cacheField name="Příjmení" numFmtId="0">
      <sharedItems/>
    </cacheField>
    <cacheField name="Jméno" numFmtId="0">
      <sharedItems/>
    </cacheField>
    <cacheField name="Město" numFmtId="0">
      <sharedItems count="7">
        <s v="Brno"/>
        <s v="Praha"/>
        <s v="Liberec"/>
        <s v="Kroměříž"/>
        <s v="Plzeň"/>
        <s v="Ostrava"/>
        <s v="Boskovice"/>
      </sharedItems>
      <fieldGroup par="12"/>
    </cacheField>
    <cacheField name="Zpoj." numFmtId="0">
      <sharedItems containsSemiMixedTypes="0" containsString="0" containsNumber="1" containsInteger="1" minValue="101" maxValue="311"/>
    </cacheField>
    <cacheField name="Narozen" numFmtId="14">
      <sharedItems containsSemiMixedTypes="0" containsNonDate="0" containsDate="1" containsString="0" minDate="1973-08-03T00:00:00" maxDate="1979-09-06T00:00:00"/>
    </cacheField>
    <cacheField name="Výška" numFmtId="0">
      <sharedItems containsSemiMixedTypes="0" containsString="0" containsNumber="1" containsInteger="1" minValue="152" maxValue="185" count="16">
        <n v="180"/>
        <n v="164"/>
        <n v="182"/>
        <n v="176"/>
        <n v="165"/>
        <n v="154"/>
        <n v="185"/>
        <n v="168"/>
        <n v="172"/>
        <n v="156"/>
        <n v="178"/>
        <n v="174"/>
        <n v="152"/>
        <n v="179"/>
        <n v="170"/>
        <n v="175"/>
      </sharedItems>
      <fieldGroup base="6">
        <rangePr autoStart="0" autoEnd="0" startNum="150" endNum="190" groupInterval="10"/>
        <groupItems count="6">
          <s v="&lt;150"/>
          <s v="150-159"/>
          <s v="160-169"/>
          <s v="170-179"/>
          <s v="180-190"/>
          <s v="&gt;190"/>
        </groupItems>
      </fieldGroup>
    </cacheField>
    <cacheField name="Váha" numFmtId="0">
      <sharedItems containsSemiMixedTypes="0" containsString="0" containsNumber="1" containsInteger="1" minValue="51" maxValue="86"/>
    </cacheField>
    <cacheField name="Sv" numFmtId="0">
      <sharedItems containsSemiMixedTypes="0" containsString="0" containsNumber="1" containsInteger="1" minValue="0" maxValue="1"/>
    </cacheField>
    <cacheField name="Body" numFmtId="0">
      <sharedItems containsSemiMixedTypes="0" containsString="0" containsNumber="1" containsInteger="1" minValue="22" maxValue="75"/>
    </cacheField>
    <cacheField name="Koef." numFmtId="0">
      <sharedItems containsSemiMixedTypes="0" containsString="0" containsNumber="1" minValue="1.1000000000000001" maxValue="1.6" count="6">
        <n v="1.4"/>
        <n v="1.6"/>
        <n v="1.1000000000000001"/>
        <n v="1.3"/>
        <n v="1.5"/>
        <n v="1.2"/>
      </sharedItems>
    </cacheField>
    <cacheField name="Výsl." numFmtId="0">
      <sharedItems containsSemiMixedTypes="0" containsString="0" containsNumber="1" minValue="35.4" maxValue="105" count="19">
        <n v="67.5"/>
        <n v="105"/>
        <n v="73.7"/>
        <n v="83.2"/>
        <n v="79.2"/>
        <n v="54.6"/>
        <n v="46.4"/>
        <n v="40.299999999999997"/>
        <n v="72.8"/>
        <n v="54"/>
        <n v="74.2"/>
        <n v="61.6"/>
        <n v="68.2"/>
        <n v="43.2"/>
        <n v="35.4"/>
        <n v="46.9"/>
        <n v="41.9"/>
        <n v="54.2"/>
        <n v="70.400000000000006"/>
      </sharedItems>
    </cacheField>
    <cacheField name="Město2" numFmtId="0" databaseField="0">
      <fieldGroup base="3">
        <discretePr count="7">
          <x v="1"/>
          <x v="0"/>
          <x v="0"/>
          <x v="1"/>
          <x v="0"/>
          <x v="1"/>
          <x v="1"/>
        </discretePr>
        <groupItems count="2">
          <s v="Skupina2"/>
          <s v="Skupina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or" refreshedDate="42849.03215983796" createdVersion="6" refreshedVersion="6" minRefreshableVersion="3" recordCount="29">
  <cacheSource type="worksheet">
    <worksheetSource ref="A2:L31" sheet="KT3" r:id="rId2"/>
  </cacheSource>
  <cacheFields count="13">
    <cacheField name="M" numFmtId="0">
      <sharedItems containsSemiMixedTypes="0" containsString="0" containsNumber="1" containsInteger="1" minValue="0" maxValue="1" count="2">
        <n v="0"/>
        <n v="1"/>
      </sharedItems>
    </cacheField>
    <cacheField name="Příjmení" numFmtId="0">
      <sharedItems/>
    </cacheField>
    <cacheField name="Jméno" numFmtId="0">
      <sharedItems/>
    </cacheField>
    <cacheField name="Město" numFmtId="0">
      <sharedItems count="7">
        <s v="Brno"/>
        <s v="Praha"/>
        <s v="Liberec"/>
        <s v="Kroměříž"/>
        <s v="Plzeň"/>
        <s v="Ostrava"/>
        <s v="Boskovice"/>
      </sharedItems>
      <fieldGroup par="12"/>
    </cacheField>
    <cacheField name="Zpoj." numFmtId="0">
      <sharedItems containsSemiMixedTypes="0" containsString="0" containsNumber="1" containsInteger="1" minValue="101" maxValue="311"/>
    </cacheField>
    <cacheField name="Narozen" numFmtId="14">
      <sharedItems containsSemiMixedTypes="0" containsNonDate="0" containsDate="1" containsString="0" minDate="1973-08-03T00:00:00" maxDate="1979-09-06T00:00:00"/>
    </cacheField>
    <cacheField name="Výška" numFmtId="0">
      <sharedItems containsSemiMixedTypes="0" containsString="0" containsNumber="1" containsInteger="1" minValue="152" maxValue="185" count="16">
        <n v="180"/>
        <n v="164"/>
        <n v="182"/>
        <n v="176"/>
        <n v="165"/>
        <n v="154"/>
        <n v="185"/>
        <n v="168"/>
        <n v="172"/>
        <n v="156"/>
        <n v="178"/>
        <n v="174"/>
        <n v="152"/>
        <n v="179"/>
        <n v="170"/>
        <n v="175"/>
      </sharedItems>
      <fieldGroup base="6">
        <rangePr autoStart="0" autoEnd="0" startNum="150" endNum="190" groupInterval="40"/>
        <groupItems count="3">
          <s v="&lt;150"/>
          <s v="150-190"/>
          <s v="&gt;190"/>
        </groupItems>
      </fieldGroup>
    </cacheField>
    <cacheField name="Váha" numFmtId="0">
      <sharedItems containsSemiMixedTypes="0" containsString="0" containsNumber="1" containsInteger="1" minValue="51" maxValue="86"/>
    </cacheField>
    <cacheField name="Sv" numFmtId="0">
      <sharedItems containsSemiMixedTypes="0" containsString="0" containsNumber="1" containsInteger="1" minValue="0" maxValue="1"/>
    </cacheField>
    <cacheField name="Body" numFmtId="0">
      <sharedItems containsSemiMixedTypes="0" containsString="0" containsNumber="1" containsInteger="1" minValue="22" maxValue="75"/>
    </cacheField>
    <cacheField name="Koef." numFmtId="0">
      <sharedItems containsSemiMixedTypes="0" containsString="0" containsNumber="1" minValue="1.1000000000000001" maxValue="1.6"/>
    </cacheField>
    <cacheField name="Výsl." numFmtId="0">
      <sharedItems containsSemiMixedTypes="0" containsString="0" containsNumber="1" minValue="35.4" maxValue="105"/>
    </cacheField>
    <cacheField name="Město2" numFmtId="0" databaseField="0">
      <fieldGroup base="3">
        <discretePr count="7">
          <x v="0"/>
          <x v="1"/>
          <x v="1"/>
          <x v="0"/>
          <x v="1"/>
          <x v="0"/>
          <x v="0"/>
        </discretePr>
        <groupItems count="2">
          <s v="Skupina2"/>
          <s v="Skupina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or" refreshedDate="42849.032160185183" createdVersion="6" refreshedVersion="6" minRefreshableVersion="3" recordCount="29">
  <cacheSource type="worksheet">
    <worksheetSource ref="A5:L34" sheet="KT1" r:id="rId2"/>
  </cacheSource>
  <cacheFields count="12">
    <cacheField name="M" numFmtId="0">
      <sharedItems containsSemiMixedTypes="0" containsString="0" containsNumber="1" containsInteger="1" minValue="0" maxValue="1" count="2">
        <n v="1"/>
        <n v="0"/>
      </sharedItems>
    </cacheField>
    <cacheField name="Příjmení" numFmtId="0">
      <sharedItems/>
    </cacheField>
    <cacheField name="Jméno" numFmtId="0">
      <sharedItems/>
    </cacheField>
    <cacheField name="Město" numFmtId="0">
      <sharedItems count="7">
        <s v="Boskovice"/>
        <s v="Brno"/>
        <s v="Kroměříž"/>
        <s v="Liberec"/>
        <s v="Ostrava"/>
        <s v="Plzeň"/>
        <s v="Praha"/>
      </sharedItems>
    </cacheField>
    <cacheField name="Zpoj." numFmtId="0">
      <sharedItems containsSemiMixedTypes="0" containsString="0" containsNumber="1" containsInteger="1" minValue="101" maxValue="311" count="5">
        <n v="101"/>
        <n v="201"/>
        <n v="211"/>
        <n v="111"/>
        <n v="311"/>
      </sharedItems>
    </cacheField>
    <cacheField name="Narozen" numFmtId="14">
      <sharedItems containsSemiMixedTypes="0" containsNonDate="0" containsDate="1" containsString="0" minDate="1973-08-03T00:00:00" maxDate="1979-09-06T00:00:00"/>
    </cacheField>
    <cacheField name="Výška" numFmtId="0">
      <sharedItems containsSemiMixedTypes="0" containsString="0" containsNumber="1" containsInteger="1" minValue="152" maxValue="185"/>
    </cacheField>
    <cacheField name="Váha" numFmtId="0">
      <sharedItems containsSemiMixedTypes="0" containsString="0" containsNumber="1" containsInteger="1" minValue="51" maxValue="86"/>
    </cacheField>
    <cacheField name="Sv" numFmtId="0">
      <sharedItems containsSemiMixedTypes="0" containsString="0" containsNumber="1" containsInteger="1" minValue="0" maxValue="1"/>
    </cacheField>
    <cacheField name="Body" numFmtId="0">
      <sharedItems containsSemiMixedTypes="0" containsString="0" containsNumber="1" containsInteger="1" minValue="22" maxValue="75"/>
    </cacheField>
    <cacheField name="Koef." numFmtId="0">
      <sharedItems containsSemiMixedTypes="0" containsString="0" containsNumber="1" minValue="1.1000000000000001" maxValue="1.6"/>
    </cacheField>
    <cacheField name="Výsl." numFmtId="0">
      <sharedItems containsSemiMixedTypes="0" containsString="0" containsNumber="1" minValue="35.4" maxValue="1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n v="0"/>
    <s v="Brázdová"/>
    <s v="Antonie"/>
    <x v="0"/>
    <n v="201"/>
    <d v="1973-09-05T00:00:00"/>
    <x v="0"/>
    <n v="78"/>
    <n v="1"/>
    <n v="45"/>
    <x v="0"/>
    <x v="0"/>
  </r>
  <r>
    <n v="1"/>
    <s v="Čistota"/>
    <s v="Michael"/>
    <x v="1"/>
    <n v="201"/>
    <d v="1977-09-29T00:00:00"/>
    <x v="0"/>
    <n v="78"/>
    <n v="0"/>
    <n v="36"/>
    <x v="1"/>
    <x v="1"/>
  </r>
  <r>
    <n v="0"/>
    <s v="Dlouhá"/>
    <s v="Milena"/>
    <x v="2"/>
    <n v="111"/>
    <d v="1977-09-14T00:00:00"/>
    <x v="1"/>
    <n v="65"/>
    <n v="1"/>
    <n v="52"/>
    <x v="0"/>
    <x v="2"/>
  </r>
  <r>
    <n v="0"/>
    <s v="Dluhá"/>
    <s v="Marie"/>
    <x v="3"/>
    <n v="311"/>
    <d v="1978-07-26T00:00:00"/>
    <x v="2"/>
    <n v="54"/>
    <n v="1"/>
    <n v="64"/>
    <x v="2"/>
    <x v="3"/>
  </r>
  <r>
    <n v="0"/>
    <s v="Fejfarová"/>
    <s v="Otýlie"/>
    <x v="0"/>
    <n v="211"/>
    <d v="1978-05-12T00:00:00"/>
    <x v="3"/>
    <n v="68"/>
    <n v="0"/>
    <n v="75"/>
    <x v="3"/>
    <x v="4"/>
  </r>
  <r>
    <n v="0"/>
    <s v="Havlová"/>
    <s v="Julie"/>
    <x v="2"/>
    <n v="111"/>
    <d v="1977-09-14T00:00:00"/>
    <x v="4"/>
    <n v="65"/>
    <n v="1"/>
    <n v="52"/>
    <x v="0"/>
    <x v="2"/>
  </r>
  <r>
    <n v="1"/>
    <s v="Kokoška"/>
    <s v="Jiří"/>
    <x v="4"/>
    <n v="101"/>
    <d v="1977-10-05T00:00:00"/>
    <x v="5"/>
    <n v="56"/>
    <n v="0"/>
    <n v="34"/>
    <x v="2"/>
    <x v="5"/>
  </r>
  <r>
    <n v="0"/>
    <s v="Kolomazníková"/>
    <s v="Markéta"/>
    <x v="0"/>
    <n v="111"/>
    <d v="1978-05-14T00:00:00"/>
    <x v="6"/>
    <n v="76"/>
    <n v="1"/>
    <n v="44"/>
    <x v="4"/>
    <x v="6"/>
  </r>
  <r>
    <n v="0"/>
    <s v="Koutná"/>
    <s v="Alena"/>
    <x v="4"/>
    <n v="211"/>
    <d v="1978-02-06T00:00:00"/>
    <x v="7"/>
    <n v="86"/>
    <n v="0"/>
    <n v="31"/>
    <x v="4"/>
    <x v="7"/>
  </r>
  <r>
    <n v="0"/>
    <s v="Krátká"/>
    <s v="Eva"/>
    <x v="3"/>
    <n v="311"/>
    <d v="1978-07-26T00:00:00"/>
    <x v="2"/>
    <n v="54"/>
    <n v="1"/>
    <n v="64"/>
    <x v="2"/>
    <x v="3"/>
  </r>
  <r>
    <n v="1"/>
    <s v="Kraváček"/>
    <s v="Jiří"/>
    <x v="5"/>
    <n v="111"/>
    <d v="1978-03-15T00:00:00"/>
    <x v="2"/>
    <n v="76"/>
    <n v="0"/>
    <n v="22"/>
    <x v="5"/>
    <x v="8"/>
  </r>
  <r>
    <n v="0"/>
    <s v="Krtinová"/>
    <s v="Anna"/>
    <x v="4"/>
    <n v="211"/>
    <d v="1978-02-06T00:00:00"/>
    <x v="8"/>
    <n v="86"/>
    <n v="0"/>
    <n v="31"/>
    <x v="4"/>
    <x v="7"/>
  </r>
  <r>
    <n v="0"/>
    <s v="Lapková"/>
    <s v="Jiřina"/>
    <x v="1"/>
    <n v="111"/>
    <d v="1979-09-05T00:00:00"/>
    <x v="0"/>
    <n v="80"/>
    <n v="0"/>
    <n v="29"/>
    <x v="3"/>
    <x v="9"/>
  </r>
  <r>
    <n v="1"/>
    <s v="Látal"/>
    <s v="Vladimír"/>
    <x v="5"/>
    <n v="201"/>
    <d v="1978-09-10T00:00:00"/>
    <x v="9"/>
    <n v="51"/>
    <n v="0"/>
    <n v="56"/>
    <x v="5"/>
    <x v="10"/>
  </r>
  <r>
    <n v="1"/>
    <s v="Mareček"/>
    <s v="Tomáš"/>
    <x v="4"/>
    <n v="311"/>
    <d v="1977-03-13T00:00:00"/>
    <x v="2"/>
    <n v="55"/>
    <n v="1"/>
    <n v="36"/>
    <x v="4"/>
    <x v="11"/>
  </r>
  <r>
    <n v="1"/>
    <s v="Marný"/>
    <s v="Daniel"/>
    <x v="4"/>
    <n v="311"/>
    <d v="1977-03-13T00:00:00"/>
    <x v="2"/>
    <n v="55"/>
    <n v="1"/>
    <n v="36"/>
    <x v="4"/>
    <x v="11"/>
  </r>
  <r>
    <n v="0"/>
    <s v="Neuvirthová"/>
    <s v="Ela"/>
    <x v="1"/>
    <n v="211"/>
    <d v="1975-04-12T00:00:00"/>
    <x v="10"/>
    <n v="69"/>
    <n v="1"/>
    <n v="45"/>
    <x v="0"/>
    <x v="12"/>
  </r>
  <r>
    <n v="1"/>
    <s v="Novák"/>
    <s v="Jan"/>
    <x v="1"/>
    <n v="111"/>
    <d v="1973-08-03T00:00:00"/>
    <x v="6"/>
    <n v="75"/>
    <n v="0"/>
    <n v="36"/>
    <x v="5"/>
    <x v="13"/>
  </r>
  <r>
    <n v="0"/>
    <s v="Nováková"/>
    <s v="Milena"/>
    <x v="4"/>
    <n v="111"/>
    <d v="1978-05-04T00:00:00"/>
    <x v="6"/>
    <n v="78"/>
    <n v="0"/>
    <n v="34"/>
    <x v="3"/>
    <x v="14"/>
  </r>
  <r>
    <n v="0"/>
    <s v="Nývltová"/>
    <s v="Jana"/>
    <x v="5"/>
    <n v="211"/>
    <d v="1978-08-23T00:00:00"/>
    <x v="11"/>
    <n v="56"/>
    <n v="0"/>
    <n v="66"/>
    <x v="0"/>
    <x v="15"/>
  </r>
  <r>
    <n v="1"/>
    <s v="Packal"/>
    <s v="David"/>
    <x v="3"/>
    <n v="101"/>
    <d v="1977-05-26T00:00:00"/>
    <x v="12"/>
    <n v="65"/>
    <n v="1"/>
    <n v="29"/>
    <x v="5"/>
    <x v="16"/>
  </r>
  <r>
    <n v="0"/>
    <s v="Páčilová"/>
    <s v="Cecilie"/>
    <x v="0"/>
    <n v="101"/>
    <d v="1977-02-04T00:00:00"/>
    <x v="13"/>
    <n v="78"/>
    <n v="1"/>
    <n v="36"/>
    <x v="0"/>
    <x v="17"/>
  </r>
  <r>
    <n v="0"/>
    <s v="Pobertová"/>
    <s v="Marie"/>
    <x v="1"/>
    <n v="111"/>
    <d v="1979-09-05T00:00:00"/>
    <x v="0"/>
    <n v="80"/>
    <n v="0"/>
    <n v="29"/>
    <x v="3"/>
    <x v="9"/>
  </r>
  <r>
    <n v="0"/>
    <s v="Poláčková"/>
    <s v="Františka"/>
    <x v="0"/>
    <n v="201"/>
    <d v="1973-09-05T00:00:00"/>
    <x v="0"/>
    <n v="78"/>
    <n v="1"/>
    <n v="45"/>
    <x v="0"/>
    <x v="0"/>
  </r>
  <r>
    <n v="1"/>
    <s v="Prášil"/>
    <s v="Tomáš"/>
    <x v="1"/>
    <n v="201"/>
    <d v="1977-09-29T00:00:00"/>
    <x v="0"/>
    <n v="78"/>
    <n v="0"/>
    <n v="36"/>
    <x v="1"/>
    <x v="1"/>
  </r>
  <r>
    <n v="0"/>
    <s v="Sedláková"/>
    <s v="Hana"/>
    <x v="5"/>
    <n v="211"/>
    <d v="1978-08-23T00:00:00"/>
    <x v="14"/>
    <n v="56"/>
    <n v="0"/>
    <n v="66"/>
    <x v="0"/>
    <x v="15"/>
  </r>
  <r>
    <n v="0"/>
    <s v="Toufarová"/>
    <s v="Frýda"/>
    <x v="0"/>
    <n v="211"/>
    <d v="1978-05-12T00:00:00"/>
    <x v="15"/>
    <n v="68"/>
    <n v="0"/>
    <n v="75"/>
    <x v="3"/>
    <x v="4"/>
  </r>
  <r>
    <n v="1"/>
    <s v="Tučný"/>
    <s v="Marek"/>
    <x v="6"/>
    <n v="101"/>
    <d v="1976-05-15T00:00:00"/>
    <x v="10"/>
    <n v="72"/>
    <n v="1"/>
    <n v="30"/>
    <x v="4"/>
    <x v="18"/>
  </r>
  <r>
    <n v="0"/>
    <s v="Vláčilová"/>
    <s v="Uršula"/>
    <x v="0"/>
    <n v="101"/>
    <d v="1977-02-04T00:00:00"/>
    <x v="13"/>
    <n v="78"/>
    <n v="1"/>
    <n v="36"/>
    <x v="0"/>
    <x v="1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9">
  <r>
    <x v="0"/>
    <s v="Brázdová"/>
    <s v="Antonie"/>
    <x v="0"/>
    <n v="201"/>
    <d v="1973-09-05T00:00:00"/>
    <x v="0"/>
    <n v="78"/>
    <n v="1"/>
    <n v="45"/>
    <n v="1.4"/>
    <n v="67.5"/>
  </r>
  <r>
    <x v="1"/>
    <s v="Čistota"/>
    <s v="Michael"/>
    <x v="1"/>
    <n v="201"/>
    <d v="1977-09-29T00:00:00"/>
    <x v="0"/>
    <n v="78"/>
    <n v="0"/>
    <n v="36"/>
    <n v="1.6"/>
    <n v="105"/>
  </r>
  <r>
    <x v="0"/>
    <s v="Dlouhá"/>
    <s v="Milena"/>
    <x v="2"/>
    <n v="111"/>
    <d v="1977-09-14T00:00:00"/>
    <x v="1"/>
    <n v="65"/>
    <n v="1"/>
    <n v="52"/>
    <n v="1.4"/>
    <n v="73.7"/>
  </r>
  <r>
    <x v="0"/>
    <s v="Dluhá"/>
    <s v="Marie"/>
    <x v="3"/>
    <n v="311"/>
    <d v="1978-07-26T00:00:00"/>
    <x v="2"/>
    <n v="54"/>
    <n v="1"/>
    <n v="64"/>
    <n v="1.1000000000000001"/>
    <n v="83.2"/>
  </r>
  <r>
    <x v="0"/>
    <s v="Fejfarová"/>
    <s v="Otýlie"/>
    <x v="0"/>
    <n v="211"/>
    <d v="1978-05-12T00:00:00"/>
    <x v="3"/>
    <n v="68"/>
    <n v="0"/>
    <n v="75"/>
    <n v="1.3"/>
    <n v="79.2"/>
  </r>
  <r>
    <x v="0"/>
    <s v="Havlová"/>
    <s v="Julie"/>
    <x v="2"/>
    <n v="111"/>
    <d v="1977-09-14T00:00:00"/>
    <x v="4"/>
    <n v="65"/>
    <n v="1"/>
    <n v="52"/>
    <n v="1.4"/>
    <n v="73.7"/>
  </r>
  <r>
    <x v="1"/>
    <s v="Kokoška"/>
    <s v="Jiří"/>
    <x v="4"/>
    <n v="101"/>
    <d v="1977-10-05T00:00:00"/>
    <x v="5"/>
    <n v="56"/>
    <n v="0"/>
    <n v="34"/>
    <n v="1.1000000000000001"/>
    <n v="54.6"/>
  </r>
  <r>
    <x v="0"/>
    <s v="Kolomazníková"/>
    <s v="Markéta"/>
    <x v="0"/>
    <n v="111"/>
    <d v="1978-05-14T00:00:00"/>
    <x v="6"/>
    <n v="76"/>
    <n v="1"/>
    <n v="44"/>
    <n v="1.5"/>
    <n v="46.4"/>
  </r>
  <r>
    <x v="0"/>
    <s v="Koutná"/>
    <s v="Alena"/>
    <x v="4"/>
    <n v="211"/>
    <d v="1978-02-06T00:00:00"/>
    <x v="7"/>
    <n v="86"/>
    <n v="0"/>
    <n v="31"/>
    <n v="1.5"/>
    <n v="40.299999999999997"/>
  </r>
  <r>
    <x v="0"/>
    <s v="Krátká"/>
    <s v="Eva"/>
    <x v="3"/>
    <n v="311"/>
    <d v="1978-07-26T00:00:00"/>
    <x v="2"/>
    <n v="54"/>
    <n v="1"/>
    <n v="64"/>
    <n v="1.1000000000000001"/>
    <n v="83.2"/>
  </r>
  <r>
    <x v="1"/>
    <s v="Kraváček"/>
    <s v="Jiří"/>
    <x v="5"/>
    <n v="111"/>
    <d v="1978-03-15T00:00:00"/>
    <x v="2"/>
    <n v="76"/>
    <n v="0"/>
    <n v="22"/>
    <n v="1.2"/>
    <n v="72.8"/>
  </r>
  <r>
    <x v="0"/>
    <s v="Krtinová"/>
    <s v="Anna"/>
    <x v="4"/>
    <n v="211"/>
    <d v="1978-02-06T00:00:00"/>
    <x v="8"/>
    <n v="86"/>
    <n v="0"/>
    <n v="31"/>
    <n v="1.5"/>
    <n v="40.299999999999997"/>
  </r>
  <r>
    <x v="0"/>
    <s v="Lapková"/>
    <s v="Jiřina"/>
    <x v="1"/>
    <n v="111"/>
    <d v="1979-09-05T00:00:00"/>
    <x v="0"/>
    <n v="80"/>
    <n v="0"/>
    <n v="29"/>
    <n v="1.3"/>
    <n v="54"/>
  </r>
  <r>
    <x v="1"/>
    <s v="Látal"/>
    <s v="Vladimír"/>
    <x v="5"/>
    <n v="201"/>
    <d v="1978-09-10T00:00:00"/>
    <x v="9"/>
    <n v="51"/>
    <n v="0"/>
    <n v="56"/>
    <n v="1.2"/>
    <n v="74.2"/>
  </r>
  <r>
    <x v="1"/>
    <s v="Mareček"/>
    <s v="Tomáš"/>
    <x v="4"/>
    <n v="311"/>
    <d v="1977-03-13T00:00:00"/>
    <x v="2"/>
    <n v="55"/>
    <n v="1"/>
    <n v="36"/>
    <n v="1.5"/>
    <n v="61.6"/>
  </r>
  <r>
    <x v="1"/>
    <s v="Marný"/>
    <s v="Daniel"/>
    <x v="4"/>
    <n v="311"/>
    <d v="1977-03-13T00:00:00"/>
    <x v="2"/>
    <n v="55"/>
    <n v="1"/>
    <n v="36"/>
    <n v="1.5"/>
    <n v="61.6"/>
  </r>
  <r>
    <x v="0"/>
    <s v="Neuvirthová"/>
    <s v="Ela"/>
    <x v="1"/>
    <n v="211"/>
    <d v="1975-04-12T00:00:00"/>
    <x v="10"/>
    <n v="69"/>
    <n v="1"/>
    <n v="45"/>
    <n v="1.4"/>
    <n v="68.2"/>
  </r>
  <r>
    <x v="1"/>
    <s v="Novák"/>
    <s v="Jan"/>
    <x v="1"/>
    <n v="111"/>
    <d v="1973-08-03T00:00:00"/>
    <x v="6"/>
    <n v="75"/>
    <n v="0"/>
    <n v="36"/>
    <n v="1.2"/>
    <n v="43.2"/>
  </r>
  <r>
    <x v="0"/>
    <s v="Nováková"/>
    <s v="Milena"/>
    <x v="4"/>
    <n v="111"/>
    <d v="1978-05-04T00:00:00"/>
    <x v="6"/>
    <n v="78"/>
    <n v="0"/>
    <n v="34"/>
    <n v="1.3"/>
    <n v="35.4"/>
  </r>
  <r>
    <x v="0"/>
    <s v="Nývltová"/>
    <s v="Jana"/>
    <x v="5"/>
    <n v="211"/>
    <d v="1978-08-23T00:00:00"/>
    <x v="11"/>
    <n v="56"/>
    <n v="0"/>
    <n v="66"/>
    <n v="1.4"/>
    <n v="46.9"/>
  </r>
  <r>
    <x v="1"/>
    <s v="Packal"/>
    <s v="David"/>
    <x v="3"/>
    <n v="101"/>
    <d v="1977-05-26T00:00:00"/>
    <x v="12"/>
    <n v="65"/>
    <n v="1"/>
    <n v="29"/>
    <n v="1.2"/>
    <n v="41.9"/>
  </r>
  <r>
    <x v="0"/>
    <s v="Páčilová"/>
    <s v="Cecilie"/>
    <x v="0"/>
    <n v="101"/>
    <d v="1977-02-04T00:00:00"/>
    <x v="13"/>
    <n v="78"/>
    <n v="1"/>
    <n v="36"/>
    <n v="1.4"/>
    <n v="54.2"/>
  </r>
  <r>
    <x v="0"/>
    <s v="Pobertová"/>
    <s v="Marie"/>
    <x v="1"/>
    <n v="111"/>
    <d v="1979-09-05T00:00:00"/>
    <x v="0"/>
    <n v="80"/>
    <n v="0"/>
    <n v="29"/>
    <n v="1.3"/>
    <n v="54"/>
  </r>
  <r>
    <x v="0"/>
    <s v="Poláčková"/>
    <s v="Františka"/>
    <x v="0"/>
    <n v="201"/>
    <d v="1973-09-05T00:00:00"/>
    <x v="0"/>
    <n v="78"/>
    <n v="1"/>
    <n v="45"/>
    <n v="1.4"/>
    <n v="67.5"/>
  </r>
  <r>
    <x v="1"/>
    <s v="Prášil"/>
    <s v="Tomáš"/>
    <x v="1"/>
    <n v="201"/>
    <d v="1977-09-29T00:00:00"/>
    <x v="0"/>
    <n v="78"/>
    <n v="0"/>
    <n v="36"/>
    <n v="1.6"/>
    <n v="105"/>
  </r>
  <r>
    <x v="0"/>
    <s v="Sedláková"/>
    <s v="Hana"/>
    <x v="5"/>
    <n v="211"/>
    <d v="1978-08-23T00:00:00"/>
    <x v="14"/>
    <n v="56"/>
    <n v="0"/>
    <n v="66"/>
    <n v="1.4"/>
    <n v="46.9"/>
  </r>
  <r>
    <x v="0"/>
    <s v="Toufarová"/>
    <s v="Frýda"/>
    <x v="0"/>
    <n v="211"/>
    <d v="1978-05-12T00:00:00"/>
    <x v="15"/>
    <n v="68"/>
    <n v="0"/>
    <n v="75"/>
    <n v="1.3"/>
    <n v="79.2"/>
  </r>
  <r>
    <x v="1"/>
    <s v="Tučný"/>
    <s v="Marek"/>
    <x v="6"/>
    <n v="101"/>
    <d v="1976-05-15T00:00:00"/>
    <x v="10"/>
    <n v="72"/>
    <n v="1"/>
    <n v="30"/>
    <n v="1.5"/>
    <n v="70.400000000000006"/>
  </r>
  <r>
    <x v="0"/>
    <s v="Vláčilová"/>
    <s v="Uršula"/>
    <x v="0"/>
    <n v="101"/>
    <d v="1977-02-04T00:00:00"/>
    <x v="13"/>
    <n v="78"/>
    <n v="1"/>
    <n v="36"/>
    <n v="1.4"/>
    <n v="54.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9">
  <r>
    <x v="0"/>
    <s v="Tučný"/>
    <s v="Marek"/>
    <x v="0"/>
    <x v="0"/>
    <d v="1976-05-15T00:00:00"/>
    <n v="178"/>
    <n v="72"/>
    <n v="1"/>
    <n v="30"/>
    <n v="1.5"/>
    <n v="70.400000000000006"/>
  </r>
  <r>
    <x v="1"/>
    <s v="Brázdová"/>
    <s v="Antonie"/>
    <x v="1"/>
    <x v="1"/>
    <d v="1973-09-05T00:00:00"/>
    <n v="180"/>
    <n v="78"/>
    <n v="1"/>
    <n v="45"/>
    <n v="1.4"/>
    <n v="67.5"/>
  </r>
  <r>
    <x v="1"/>
    <s v="Fejfarová"/>
    <s v="Otýlie"/>
    <x v="1"/>
    <x v="2"/>
    <d v="1978-05-12T00:00:00"/>
    <n v="176"/>
    <n v="68"/>
    <n v="0"/>
    <n v="75"/>
    <n v="1.3"/>
    <n v="79.2"/>
  </r>
  <r>
    <x v="1"/>
    <s v="Kolomazníková"/>
    <s v="Markéta"/>
    <x v="1"/>
    <x v="3"/>
    <d v="1978-05-14T00:00:00"/>
    <n v="185"/>
    <n v="76"/>
    <n v="1"/>
    <n v="44"/>
    <n v="1.5"/>
    <n v="46.4"/>
  </r>
  <r>
    <x v="1"/>
    <s v="Páčilová"/>
    <s v="Cecilie"/>
    <x v="1"/>
    <x v="0"/>
    <d v="1977-02-04T00:00:00"/>
    <n v="179"/>
    <n v="78"/>
    <n v="1"/>
    <n v="36"/>
    <n v="1.4"/>
    <n v="54.2"/>
  </r>
  <r>
    <x v="1"/>
    <s v="Poláčková"/>
    <s v="Františka"/>
    <x v="1"/>
    <x v="1"/>
    <d v="1973-09-05T00:00:00"/>
    <n v="180"/>
    <n v="78"/>
    <n v="1"/>
    <n v="45"/>
    <n v="1.4"/>
    <n v="67.5"/>
  </r>
  <r>
    <x v="1"/>
    <s v="Toufarová"/>
    <s v="Frýda"/>
    <x v="1"/>
    <x v="2"/>
    <d v="1978-05-12T00:00:00"/>
    <n v="175"/>
    <n v="68"/>
    <n v="0"/>
    <n v="75"/>
    <n v="1.3"/>
    <n v="79.2"/>
  </r>
  <r>
    <x v="1"/>
    <s v="Vláčilová"/>
    <s v="Uršula"/>
    <x v="1"/>
    <x v="0"/>
    <d v="1977-02-04T00:00:00"/>
    <n v="179"/>
    <n v="78"/>
    <n v="1"/>
    <n v="36"/>
    <n v="1.4"/>
    <n v="54.2"/>
  </r>
  <r>
    <x v="1"/>
    <s v="Dluhá"/>
    <s v="Marie"/>
    <x v="2"/>
    <x v="4"/>
    <d v="1978-07-26T00:00:00"/>
    <n v="182"/>
    <n v="54"/>
    <n v="1"/>
    <n v="64"/>
    <n v="1.1000000000000001"/>
    <n v="83.2"/>
  </r>
  <r>
    <x v="1"/>
    <s v="Krátká"/>
    <s v="Eva"/>
    <x v="2"/>
    <x v="4"/>
    <d v="1978-07-26T00:00:00"/>
    <n v="182"/>
    <n v="54"/>
    <n v="1"/>
    <n v="64"/>
    <n v="1.1000000000000001"/>
    <n v="83.2"/>
  </r>
  <r>
    <x v="0"/>
    <s v="Packal"/>
    <s v="David"/>
    <x v="2"/>
    <x v="0"/>
    <d v="1977-05-26T00:00:00"/>
    <n v="152"/>
    <n v="65"/>
    <n v="1"/>
    <n v="29"/>
    <n v="1.2"/>
    <n v="41.9"/>
  </r>
  <r>
    <x v="1"/>
    <s v="Dlouhá"/>
    <s v="Milena"/>
    <x v="3"/>
    <x v="3"/>
    <d v="1977-09-14T00:00:00"/>
    <n v="164"/>
    <n v="65"/>
    <n v="1"/>
    <n v="52"/>
    <n v="1.4"/>
    <n v="73.7"/>
  </r>
  <r>
    <x v="1"/>
    <s v="Havlová"/>
    <s v="Julie"/>
    <x v="3"/>
    <x v="3"/>
    <d v="1977-09-14T00:00:00"/>
    <n v="165"/>
    <n v="65"/>
    <n v="1"/>
    <n v="52"/>
    <n v="1.4"/>
    <n v="73.7"/>
  </r>
  <r>
    <x v="0"/>
    <s v="Kraváček"/>
    <s v="Jiří"/>
    <x v="4"/>
    <x v="3"/>
    <d v="1978-03-15T00:00:00"/>
    <n v="182"/>
    <n v="76"/>
    <n v="0"/>
    <n v="22"/>
    <n v="1.2"/>
    <n v="72.8"/>
  </r>
  <r>
    <x v="0"/>
    <s v="Látal"/>
    <s v="Vladimír"/>
    <x v="4"/>
    <x v="1"/>
    <d v="1978-09-10T00:00:00"/>
    <n v="156"/>
    <n v="51"/>
    <n v="0"/>
    <n v="56"/>
    <n v="1.2"/>
    <n v="74.2"/>
  </r>
  <r>
    <x v="1"/>
    <s v="Nývltová"/>
    <s v="Jana"/>
    <x v="4"/>
    <x v="2"/>
    <d v="1978-08-23T00:00:00"/>
    <n v="174"/>
    <n v="56"/>
    <n v="0"/>
    <n v="66"/>
    <n v="1.4"/>
    <n v="46.9"/>
  </r>
  <r>
    <x v="1"/>
    <s v="Sedláková"/>
    <s v="Hana"/>
    <x v="4"/>
    <x v="2"/>
    <d v="1978-08-23T00:00:00"/>
    <n v="170"/>
    <n v="56"/>
    <n v="0"/>
    <n v="66"/>
    <n v="1.4"/>
    <n v="46.9"/>
  </r>
  <r>
    <x v="0"/>
    <s v="Kokoška"/>
    <s v="Jiří"/>
    <x v="5"/>
    <x v="0"/>
    <d v="1977-10-05T00:00:00"/>
    <n v="154"/>
    <n v="56"/>
    <n v="0"/>
    <n v="34"/>
    <n v="1.1000000000000001"/>
    <n v="54.6"/>
  </r>
  <r>
    <x v="1"/>
    <s v="Koutná"/>
    <s v="Alena"/>
    <x v="5"/>
    <x v="2"/>
    <d v="1978-02-06T00:00:00"/>
    <n v="168"/>
    <n v="86"/>
    <n v="0"/>
    <n v="31"/>
    <n v="1.5"/>
    <n v="40.299999999999997"/>
  </r>
  <r>
    <x v="1"/>
    <s v="Krtinová"/>
    <s v="Anna"/>
    <x v="5"/>
    <x v="2"/>
    <d v="1978-02-06T00:00:00"/>
    <n v="172"/>
    <n v="86"/>
    <n v="0"/>
    <n v="31"/>
    <n v="1.5"/>
    <n v="40.299999999999997"/>
  </r>
  <r>
    <x v="0"/>
    <s v="Mareček"/>
    <s v="Tomáš"/>
    <x v="5"/>
    <x v="4"/>
    <d v="1977-03-13T00:00:00"/>
    <n v="182"/>
    <n v="55"/>
    <n v="1"/>
    <n v="36"/>
    <n v="1.5"/>
    <n v="61.6"/>
  </r>
  <r>
    <x v="0"/>
    <s v="Marný"/>
    <s v="Daniel"/>
    <x v="5"/>
    <x v="4"/>
    <d v="1977-03-13T00:00:00"/>
    <n v="182"/>
    <n v="55"/>
    <n v="1"/>
    <n v="36"/>
    <n v="1.5"/>
    <n v="61.6"/>
  </r>
  <r>
    <x v="1"/>
    <s v="Nováková"/>
    <s v="Milena"/>
    <x v="5"/>
    <x v="3"/>
    <d v="1978-05-04T00:00:00"/>
    <n v="185"/>
    <n v="78"/>
    <n v="0"/>
    <n v="34"/>
    <n v="1.3"/>
    <n v="35.4"/>
  </r>
  <r>
    <x v="0"/>
    <s v="Čistota"/>
    <s v="Michael"/>
    <x v="6"/>
    <x v="1"/>
    <d v="1977-09-29T00:00:00"/>
    <n v="180"/>
    <n v="78"/>
    <n v="0"/>
    <n v="36"/>
    <n v="1.6"/>
    <n v="105"/>
  </r>
  <r>
    <x v="1"/>
    <s v="Lapková"/>
    <s v="Jiřina"/>
    <x v="6"/>
    <x v="3"/>
    <d v="1979-09-05T00:00:00"/>
    <n v="180"/>
    <n v="80"/>
    <n v="0"/>
    <n v="29"/>
    <n v="1.3"/>
    <n v="54"/>
  </r>
  <r>
    <x v="1"/>
    <s v="Neuvirthová"/>
    <s v="Ela"/>
    <x v="6"/>
    <x v="2"/>
    <d v="1975-04-12T00:00:00"/>
    <n v="178"/>
    <n v="69"/>
    <n v="1"/>
    <n v="45"/>
    <n v="1.4"/>
    <n v="68.2"/>
  </r>
  <r>
    <x v="0"/>
    <s v="Novák"/>
    <s v="Jan"/>
    <x v="6"/>
    <x v="3"/>
    <d v="1973-08-03T00:00:00"/>
    <n v="185"/>
    <n v="75"/>
    <n v="0"/>
    <n v="36"/>
    <n v="1.2"/>
    <n v="43.2"/>
  </r>
  <r>
    <x v="1"/>
    <s v="Pobertová"/>
    <s v="Marie"/>
    <x v="6"/>
    <x v="3"/>
    <d v="1979-09-05T00:00:00"/>
    <n v="180"/>
    <n v="80"/>
    <n v="0"/>
    <n v="29"/>
    <n v="1.3"/>
    <n v="54"/>
  </r>
  <r>
    <x v="0"/>
    <s v="Prášil"/>
    <s v="Tomáš"/>
    <x v="6"/>
    <x v="1"/>
    <d v="1977-09-29T00:00:00"/>
    <n v="180"/>
    <n v="78"/>
    <n v="0"/>
    <n v="36"/>
    <n v="1.6"/>
    <n v="1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Kontingenční tabulka1" cacheId="2" applyNumberFormats="0" applyBorderFormats="0" applyFontFormats="0" applyPatternFormats="0" applyAlignmentFormats="0" applyWidthHeightFormats="1" dataCaption="Hodnoty" grandTotalCaption="Celkový průměr" updatedVersion="6" minRefreshableVersion="3" useAutoFormatting="1" itemPrintTitles="1" createdVersion="6" indent="0" outline="1" outlineData="1" multipleFieldFilters="0">
  <location ref="A3:G12" firstHeaderRow="1" firstDataRow="2" firstDataCol="1" rowPageCount="1" colPageCount="1"/>
  <pivotFields count="12">
    <pivotField axis="axisPage" showAll="0" includeNewItemsInFilter="1" defaultSubtotal="0">
      <items count="2">
        <item x="1"/>
        <item x="0"/>
      </items>
    </pivotField>
    <pivotField showAll="0" defaultSubtotal="0"/>
    <pivotField showAll="0" defaultSubtotal="0"/>
    <pivotField axis="axisRow" showAll="0" defaultSubtotal="0">
      <items count="7">
        <item x="6"/>
        <item x="4"/>
        <item x="1"/>
        <item x="3"/>
        <item x="0"/>
        <item x="2"/>
        <item x="5"/>
      </items>
    </pivotField>
    <pivotField axis="axisCol" showAll="0" sortType="ascending" defaultSubtotal="0">
      <items count="5">
        <item x="0"/>
        <item x="3"/>
        <item x="1"/>
        <item x="2"/>
        <item x="4"/>
      </items>
    </pivotField>
    <pivotField numFmtId="14" showAll="0" defaultSubtotal="0"/>
    <pivotField showAll="0" defaultSubtotal="0"/>
    <pivotField dataField="1"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4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0" hier="-1"/>
  </pageFields>
  <dataFields count="1">
    <dataField name="Průměr z Váha" fld="7" subtotal="average" baseField="3" baseItem="1" numFmtId="2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ontingenční tabulka1" cacheId="2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G12" firstHeaderRow="1" firstDataRow="2" firstDataCol="1" rowPageCount="1" colPageCount="1"/>
  <pivotFields count="12"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axis="axisRow" showAll="0">
      <items count="8">
        <item x="6"/>
        <item x="1"/>
        <item x="4"/>
        <item x="0"/>
        <item x="2"/>
        <item x="3"/>
        <item x="5"/>
        <item t="default"/>
      </items>
    </pivotField>
    <pivotField axis="axisCol" showAll="0">
      <items count="6">
        <item x="0"/>
        <item x="3"/>
        <item x="1"/>
        <item x="2"/>
        <item x="4"/>
        <item t="default"/>
      </items>
    </pivotField>
    <pivotField numFmtId="14" showAll="0"/>
    <pivotField showAll="0"/>
    <pivotField dataField="1" showAll="0"/>
    <pivotField showAll="0"/>
    <pivotField showAll="0"/>
    <pivotField showAll="0"/>
    <pivotField showAll="0"/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4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0" hier="-1"/>
  </pageFields>
  <dataFields count="1">
    <dataField name="Obezita" fld="7" subtotal="average" baseField="3" baseItem="1" numFmtId="2"/>
  </dataFields>
  <pivotTableStyleInfo name="PivotStyleDark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Kontingenční tabulka2" cacheId="0" applyNumberFormats="0" applyBorderFormats="0" applyFontFormats="0" applyPatternFormats="0" applyAlignmentFormats="0" applyWidthHeightFormats="1" dataCaption="Hodnoty" grandTotalCaption="Celkový průměr" updatedVersion="6" minRefreshableVersion="3" useAutoFormatting="1" itemPrintTitles="1" createdVersion="6" indent="0" outline="1" outlineData="1" multipleFieldFilters="0" colHeaderCaption="Oblast">
  <location ref="A4:D11" firstHeaderRow="1" firstDataRow="3" firstDataCol="1"/>
  <pivotFields count="13">
    <pivotField showAll="0"/>
    <pivotField showAll="0"/>
    <pivotField showAll="0"/>
    <pivotField axis="axisCol" showAll="0">
      <items count="8">
        <item x="1"/>
        <item x="5"/>
        <item x="0"/>
        <item x="2"/>
        <item x="6"/>
        <item x="3"/>
        <item x="4"/>
        <item t="default"/>
      </items>
    </pivotField>
    <pivotField showAll="0"/>
    <pivotField numFmtId="14"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dataField="1" showAll="0">
      <items count="7">
        <item x="2"/>
        <item x="5"/>
        <item x="3"/>
        <item x="0"/>
        <item x="4"/>
        <item x="1"/>
        <item t="default"/>
      </items>
    </pivotField>
    <pivotField showAll="0">
      <items count="20">
        <item x="14"/>
        <item x="7"/>
        <item x="16"/>
        <item x="13"/>
        <item x="6"/>
        <item x="15"/>
        <item x="9"/>
        <item x="17"/>
        <item x="5"/>
        <item x="11"/>
        <item x="0"/>
        <item x="12"/>
        <item x="18"/>
        <item x="8"/>
        <item x="2"/>
        <item x="10"/>
        <item x="4"/>
        <item x="3"/>
        <item x="1"/>
        <item t="default"/>
      </items>
    </pivotField>
    <pivotField axis="axisCol" showAll="0" defaultSubtotal="0">
      <items count="2">
        <item n="Morava" sd="0" x="1"/>
        <item n="Čechy" sd="0" x="0"/>
      </items>
    </pivotField>
  </pivotFields>
  <rowFields count="1">
    <field x="6"/>
  </rowFields>
  <rowItems count="5">
    <i>
      <x v="1"/>
    </i>
    <i>
      <x v="2"/>
    </i>
    <i>
      <x v="3"/>
    </i>
    <i>
      <x v="4"/>
    </i>
    <i t="grand">
      <x/>
    </i>
  </rowItems>
  <colFields count="2">
    <field x="12"/>
    <field x="3"/>
  </colFields>
  <colItems count="3">
    <i>
      <x/>
    </i>
    <i>
      <x v="1"/>
    </i>
    <i t="grand">
      <x/>
    </i>
  </colItems>
  <dataFields count="1">
    <dataField name="Průměr z Koef." fld="10" subtotal="average" baseField="6" baseItem="1" numFmtId="180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Kontingenční tabulka2" cacheId="0" applyNumberFormats="0" applyBorderFormats="0" applyFontFormats="0" applyPatternFormats="0" applyAlignmentFormats="0" applyWidthHeightFormats="1" dataCaption="Hodnoty" grandTotalCaption="Celkový průměr" updatedVersion="6" minRefreshableVersion="3" useAutoFormatting="1" itemPrintTitles="1" createdVersion="6" indent="0" outline="1" outlineData="1" multipleFieldFilters="0">
  <location ref="A3:I10" firstHeaderRow="1" firstDataRow="3" firstDataCol="1"/>
  <pivotFields count="13">
    <pivotField showAll="0"/>
    <pivotField showAll="0"/>
    <pivotField showAll="0"/>
    <pivotField axis="axisCol" showAll="0">
      <items count="8">
        <item x="1"/>
        <item x="0"/>
        <item x="5"/>
        <item x="6"/>
        <item x="3"/>
        <item x="2"/>
        <item x="4"/>
        <item t="default"/>
      </items>
    </pivotField>
    <pivotField showAll="0"/>
    <pivotField numFmtId="14"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showAll="0"/>
    <pivotField dataField="1" showAll="0"/>
    <pivotField axis="axisCol" showAll="0" defaultSubtotal="0">
      <items count="2">
        <item n="Čechy" x="0"/>
        <item x="1"/>
      </items>
    </pivotField>
  </pivotFields>
  <rowFields count="1">
    <field x="6"/>
  </rowFields>
  <rowItems count="5">
    <i>
      <x v="1"/>
    </i>
    <i>
      <x v="2"/>
    </i>
    <i>
      <x v="3"/>
    </i>
    <i>
      <x v="4"/>
    </i>
    <i t="grand">
      <x/>
    </i>
  </rowItems>
  <colFields count="2">
    <field x="12"/>
    <field x="3"/>
  </colFields>
  <colItems count="8">
    <i>
      <x/>
      <x/>
    </i>
    <i r="1">
      <x v="5"/>
    </i>
    <i r="1">
      <x v="6"/>
    </i>
    <i>
      <x v="1"/>
      <x v="1"/>
    </i>
    <i r="1">
      <x v="2"/>
    </i>
    <i r="1">
      <x v="3"/>
    </i>
    <i r="1">
      <x v="4"/>
    </i>
    <i t="grand">
      <x/>
    </i>
  </colItems>
  <dataFields count="1">
    <dataField name="Průměr z Výsl." fld="11" subtotal="average" baseField="6" baseItem="1" numFmtId="18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Kontingenční tabulka4" cacheId="1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E8" firstHeaderRow="1" firstDataRow="3" firstDataCol="1" rowPageCount="1" colPageCount="1"/>
  <pivotFields count="13">
    <pivotField axis="axisPage" showAll="0">
      <items count="3">
        <item x="0"/>
        <item x="1"/>
        <item t="default"/>
      </items>
    </pivotField>
    <pivotField showAll="0"/>
    <pivotField showAll="0"/>
    <pivotField axis="axisRow" showAll="0">
      <items count="8">
        <item x="1"/>
        <item x="0"/>
        <item x="5"/>
        <item x="6"/>
        <item x="3"/>
        <item x="2"/>
        <item x="4"/>
        <item t="default"/>
      </items>
    </pivotField>
    <pivotField showAll="0"/>
    <pivotField numFmtId="14" showAll="0"/>
    <pivotField axis="axisCol" dataField="1" showAll="0">
      <items count="4">
        <item x="0"/>
        <item n="Výška" x="1"/>
        <item x="2"/>
        <item t="default"/>
      </items>
    </pivotField>
    <pivotField dataField="1" showAll="0"/>
    <pivotField showAll="0"/>
    <pivotField showAll="0"/>
    <pivotField showAll="0"/>
    <pivotField showAll="0"/>
    <pivotField axis="axisRow" showAll="0" defaultSubtotal="0">
      <items count="2">
        <item sd="0" x="1"/>
        <item n="Morava" sd="0" x="0"/>
      </items>
    </pivotField>
  </pivotFields>
  <rowFields count="2">
    <field x="12"/>
    <field x="3"/>
  </rowFields>
  <rowItems count="3">
    <i>
      <x/>
    </i>
    <i>
      <x v="1"/>
    </i>
    <i t="grand">
      <x/>
    </i>
  </rowItems>
  <colFields count="2">
    <field x="6"/>
    <field x="-2"/>
  </colFields>
  <colItems count="4">
    <i>
      <x v="1"/>
      <x/>
    </i>
    <i r="1" i="1">
      <x v="1"/>
    </i>
    <i t="grand">
      <x/>
    </i>
    <i t="grand" i="1">
      <x/>
    </i>
  </colItems>
  <pageFields count="1">
    <pageField fld="0" hier="-1"/>
  </pageFields>
  <dataFields count="2">
    <dataField name="Průměrná Výška" fld="6" subtotal="average" baseField="12" baseItem="1" numFmtId="2"/>
    <dataField name="Průměrná Váha" fld="7" subtotal="average" baseField="12" baseItem="0" numFmtId="18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Kontingenční tabulka3" cacheId="1" applyNumberFormats="0" applyBorderFormats="0" applyFontFormats="0" applyPatternFormats="0" applyAlignmentFormats="0" applyWidthHeightFormats="1" dataCaption="Hodnoty" updatedVersion="6" minRefreshableVersion="3" useAutoFormatting="1" colGrandTotals="0" itemPrintTitles="1" createdVersion="6" indent="0" outline="1" outlineData="1" multipleFieldFilters="0">
  <location ref="A3:C8" firstHeaderRow="1" firstDataRow="3" firstDataCol="1" rowPageCount="1" colPageCount="1"/>
  <pivotFields count="13">
    <pivotField axis="axisPage" showAll="0">
      <items count="3">
        <item x="0"/>
        <item x="1"/>
        <item t="default"/>
      </items>
    </pivotField>
    <pivotField showAll="0"/>
    <pivotField showAll="0"/>
    <pivotField axis="axisRow" showAll="0">
      <items count="8">
        <item x="1"/>
        <item x="5"/>
        <item x="0"/>
        <item x="2"/>
        <item x="6"/>
        <item x="3"/>
        <item x="4"/>
        <item t="default"/>
      </items>
    </pivotField>
    <pivotField showAll="0"/>
    <pivotField numFmtId="14" showAll="0"/>
    <pivotField axis="axisCol" dataField="1" showAll="0" avgSubtotal="1">
      <items count="4">
        <item x="0"/>
        <item x="1"/>
        <item x="2"/>
        <item t="avg"/>
      </items>
    </pivotField>
    <pivotField dataField="1" showAll="0"/>
    <pivotField showAll="0"/>
    <pivotField showAll="0"/>
    <pivotField showAll="0"/>
    <pivotField showAll="0"/>
    <pivotField axis="axisRow" showAll="0" defaultSubtotal="0">
      <items count="2">
        <item n="Čechy" sd="0" x="1"/>
        <item n="Morava" sd="0" x="0"/>
      </items>
    </pivotField>
  </pivotFields>
  <rowFields count="2">
    <field x="12"/>
    <field x="3"/>
  </rowFields>
  <rowItems count="3">
    <i>
      <x/>
    </i>
    <i>
      <x v="1"/>
    </i>
    <i t="grand">
      <x/>
    </i>
  </rowItems>
  <colFields count="2">
    <field x="6"/>
    <field x="-2"/>
  </colFields>
  <colItems count="2">
    <i>
      <x v="1"/>
      <x/>
    </i>
    <i r="1" i="1">
      <x v="1"/>
    </i>
  </colItems>
  <pageFields count="1">
    <pageField fld="0" hier="-1"/>
  </pageFields>
  <dataFields count="2">
    <dataField name="Průměr z Výška" fld="6" subtotal="average" baseField="12" baseItem="1" numFmtId="2"/>
    <dataField name="Průměr z Váha" fld="7" subtotal="average" baseField="12" baseItem="1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1.bin"/><Relationship Id="rId4" Type="http://schemas.openxmlformats.org/officeDocument/2006/relationships/comments" Target="../comments2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ynek@seznam.cz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9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6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7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8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.bin"/><Relationship Id="rId1" Type="http://schemas.openxmlformats.org/officeDocument/2006/relationships/pivotTable" Target="../pivotTables/pivotTable1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2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.bin"/><Relationship Id="rId1" Type="http://schemas.openxmlformats.org/officeDocument/2006/relationships/pivotTable" Target="../pivotTables/pivotTable2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ivotTable" Target="../pivotTables/pivotTable3.x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5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ivotTable" Target="../pivotTables/pivotTable4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ivotTable" Target="../pivotTables/pivotTable5.x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.bin"/><Relationship Id="rId1" Type="http://schemas.openxmlformats.org/officeDocument/2006/relationships/pivotTable" Target="../pivotTables/pivotTable6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70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73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3:D60"/>
  <sheetViews>
    <sheetView workbookViewId="0">
      <selection activeCell="B60" sqref="B60"/>
    </sheetView>
  </sheetViews>
  <sheetFormatPr defaultRowHeight="14.4" x14ac:dyDescent="0.3"/>
  <cols>
    <col min="2" max="2" width="46.33203125" customWidth="1"/>
    <col min="3" max="3" width="69.33203125" customWidth="1"/>
    <col min="4" max="4" width="29.33203125" customWidth="1"/>
  </cols>
  <sheetData>
    <row r="3" spans="2:4" x14ac:dyDescent="0.3">
      <c r="B3" s="182" t="s">
        <v>1057</v>
      </c>
      <c r="C3" t="s">
        <v>1017</v>
      </c>
    </row>
    <row r="4" spans="2:4" x14ac:dyDescent="0.3">
      <c r="B4" s="182" t="s">
        <v>1058</v>
      </c>
      <c r="C4" t="s">
        <v>1105</v>
      </c>
    </row>
    <row r="5" spans="2:4" x14ac:dyDescent="0.3">
      <c r="B5" s="182" t="s">
        <v>1059</v>
      </c>
      <c r="C5" t="s">
        <v>1106</v>
      </c>
    </row>
    <row r="6" spans="2:4" x14ac:dyDescent="0.3">
      <c r="B6" s="182" t="s">
        <v>1060</v>
      </c>
      <c r="C6" t="s">
        <v>1107</v>
      </c>
    </row>
    <row r="7" spans="2:4" x14ac:dyDescent="0.3">
      <c r="B7" s="182" t="s">
        <v>1061</v>
      </c>
      <c r="C7" t="s">
        <v>1108</v>
      </c>
    </row>
    <row r="8" spans="2:4" x14ac:dyDescent="0.3">
      <c r="B8" s="182" t="s">
        <v>1062</v>
      </c>
      <c r="C8" t="s">
        <v>888</v>
      </c>
    </row>
    <row r="9" spans="2:4" x14ac:dyDescent="0.3">
      <c r="B9" s="182" t="s">
        <v>1063</v>
      </c>
      <c r="C9" t="s">
        <v>1063</v>
      </c>
    </row>
    <row r="10" spans="2:4" x14ac:dyDescent="0.3">
      <c r="B10" s="182" t="s">
        <v>1064</v>
      </c>
      <c r="C10" t="s">
        <v>1109</v>
      </c>
    </row>
    <row r="11" spans="2:4" x14ac:dyDescent="0.3">
      <c r="B11" s="182" t="s">
        <v>1065</v>
      </c>
      <c r="C11" t="s">
        <v>1111</v>
      </c>
    </row>
    <row r="12" spans="2:4" x14ac:dyDescent="0.3">
      <c r="B12" s="182" t="s">
        <v>762</v>
      </c>
      <c r="C12" t="s">
        <v>1112</v>
      </c>
    </row>
    <row r="13" spans="2:4" x14ac:dyDescent="0.3">
      <c r="B13" s="182" t="s">
        <v>1066</v>
      </c>
      <c r="C13" t="s">
        <v>1113</v>
      </c>
    </row>
    <row r="14" spans="2:4" x14ac:dyDescent="0.3">
      <c r="B14" s="182" t="s">
        <v>1067</v>
      </c>
      <c r="C14" t="s">
        <v>1114</v>
      </c>
      <c r="D14" t="s">
        <v>1149</v>
      </c>
    </row>
    <row r="15" spans="2:4" x14ac:dyDescent="0.3">
      <c r="B15" s="182" t="s">
        <v>1068</v>
      </c>
      <c r="C15" t="s">
        <v>1115</v>
      </c>
      <c r="D15" t="s">
        <v>1149</v>
      </c>
    </row>
    <row r="16" spans="2:4" x14ac:dyDescent="0.3">
      <c r="B16" s="182" t="s">
        <v>1069</v>
      </c>
      <c r="C16" t="s">
        <v>357</v>
      </c>
    </row>
    <row r="17" spans="2:4" x14ac:dyDescent="0.3">
      <c r="B17" s="182" t="s">
        <v>1070</v>
      </c>
      <c r="C17" t="s">
        <v>1116</v>
      </c>
    </row>
    <row r="18" spans="2:4" x14ac:dyDescent="0.3">
      <c r="B18" s="182" t="s">
        <v>1071</v>
      </c>
      <c r="C18" t="s">
        <v>1117</v>
      </c>
    </row>
    <row r="19" spans="2:4" x14ac:dyDescent="0.3">
      <c r="B19" s="182" t="s">
        <v>1072</v>
      </c>
      <c r="C19" t="s">
        <v>1118</v>
      </c>
    </row>
    <row r="20" spans="2:4" x14ac:dyDescent="0.3">
      <c r="B20" s="182" t="s">
        <v>1073</v>
      </c>
      <c r="C20" t="s">
        <v>1120</v>
      </c>
      <c r="D20" t="s">
        <v>1149</v>
      </c>
    </row>
    <row r="21" spans="2:4" x14ac:dyDescent="0.3">
      <c r="B21" s="182" t="s">
        <v>1074</v>
      </c>
      <c r="C21" t="s">
        <v>1119</v>
      </c>
      <c r="D21" t="s">
        <v>1149</v>
      </c>
    </row>
    <row r="22" spans="2:4" x14ac:dyDescent="0.3">
      <c r="B22" s="182" t="s">
        <v>1075</v>
      </c>
      <c r="C22" t="s">
        <v>1121</v>
      </c>
    </row>
    <row r="23" spans="2:4" x14ac:dyDescent="0.3">
      <c r="B23" s="182" t="s">
        <v>1076</v>
      </c>
      <c r="C23" t="s">
        <v>1122</v>
      </c>
    </row>
    <row r="24" spans="2:4" x14ac:dyDescent="0.3">
      <c r="B24" s="182" t="s">
        <v>1077</v>
      </c>
      <c r="C24" t="s">
        <v>1123</v>
      </c>
    </row>
    <row r="25" spans="2:4" x14ac:dyDescent="0.3">
      <c r="B25" s="182" t="s">
        <v>1078</v>
      </c>
      <c r="C25" t="s">
        <v>1124</v>
      </c>
      <c r="D25" t="s">
        <v>1149</v>
      </c>
    </row>
    <row r="26" spans="2:4" x14ac:dyDescent="0.3">
      <c r="B26" s="182" t="s">
        <v>1079</v>
      </c>
      <c r="C26" t="s">
        <v>1124</v>
      </c>
      <c r="D26" t="s">
        <v>1149</v>
      </c>
    </row>
    <row r="27" spans="2:4" x14ac:dyDescent="0.3">
      <c r="B27" s="182" t="s">
        <v>1080</v>
      </c>
      <c r="C27" t="s">
        <v>1125</v>
      </c>
    </row>
    <row r="28" spans="2:4" x14ac:dyDescent="0.3">
      <c r="B28" s="182" t="s">
        <v>1081</v>
      </c>
      <c r="C28" t="s">
        <v>598</v>
      </c>
      <c r="D28" t="s">
        <v>1149</v>
      </c>
    </row>
    <row r="29" spans="2:4" x14ac:dyDescent="0.3">
      <c r="B29" s="182" t="s">
        <v>1082</v>
      </c>
      <c r="C29" t="s">
        <v>598</v>
      </c>
      <c r="D29" t="s">
        <v>1149</v>
      </c>
    </row>
    <row r="30" spans="2:4" x14ac:dyDescent="0.3">
      <c r="B30" s="182" t="s">
        <v>1083</v>
      </c>
      <c r="C30" t="s">
        <v>1126</v>
      </c>
    </row>
    <row r="31" spans="2:4" x14ac:dyDescent="0.3">
      <c r="B31" s="182" t="s">
        <v>1084</v>
      </c>
      <c r="C31" t="s">
        <v>1126</v>
      </c>
    </row>
    <row r="32" spans="2:4" x14ac:dyDescent="0.3">
      <c r="B32" s="182" t="s">
        <v>1085</v>
      </c>
      <c r="C32" t="s">
        <v>1127</v>
      </c>
    </row>
    <row r="33" spans="2:4" x14ac:dyDescent="0.3">
      <c r="B33" s="182" t="s">
        <v>602</v>
      </c>
      <c r="C33" t="s">
        <v>1128</v>
      </c>
    </row>
    <row r="34" spans="2:4" x14ac:dyDescent="0.3">
      <c r="B34" s="182" t="s">
        <v>176</v>
      </c>
      <c r="C34" t="s">
        <v>162</v>
      </c>
    </row>
    <row r="35" spans="2:4" x14ac:dyDescent="0.3">
      <c r="B35" s="182" t="s">
        <v>1129</v>
      </c>
      <c r="C35" t="s">
        <v>1130</v>
      </c>
      <c r="D35" t="s">
        <v>1149</v>
      </c>
    </row>
    <row r="36" spans="2:4" x14ac:dyDescent="0.3">
      <c r="B36" s="182" t="s">
        <v>230</v>
      </c>
      <c r="C36" t="s">
        <v>1131</v>
      </c>
    </row>
    <row r="37" spans="2:4" x14ac:dyDescent="0.3">
      <c r="B37" s="182" t="s">
        <v>232</v>
      </c>
      <c r="C37" t="s">
        <v>1132</v>
      </c>
    </row>
    <row r="38" spans="2:4" x14ac:dyDescent="0.3">
      <c r="B38" s="182" t="s">
        <v>1086</v>
      </c>
      <c r="C38" t="s">
        <v>1133</v>
      </c>
    </row>
    <row r="39" spans="2:4" x14ac:dyDescent="0.3">
      <c r="B39" s="182" t="s">
        <v>1087</v>
      </c>
      <c r="C39" t="s">
        <v>1134</v>
      </c>
      <c r="D39" t="s">
        <v>1149</v>
      </c>
    </row>
    <row r="40" spans="2:4" x14ac:dyDescent="0.3">
      <c r="B40" s="182" t="s">
        <v>1088</v>
      </c>
      <c r="C40" t="s">
        <v>1135</v>
      </c>
    </row>
    <row r="41" spans="2:4" x14ac:dyDescent="0.3">
      <c r="B41" s="182" t="s">
        <v>1089</v>
      </c>
      <c r="C41" t="s">
        <v>1136</v>
      </c>
      <c r="D41" t="s">
        <v>1149</v>
      </c>
    </row>
    <row r="42" spans="2:4" x14ac:dyDescent="0.3">
      <c r="B42" s="182" t="s">
        <v>1090</v>
      </c>
      <c r="C42" t="s">
        <v>1137</v>
      </c>
      <c r="D42" t="s">
        <v>1149</v>
      </c>
    </row>
    <row r="43" spans="2:4" x14ac:dyDescent="0.3">
      <c r="B43" s="182" t="s">
        <v>1091</v>
      </c>
      <c r="C43" t="s">
        <v>1138</v>
      </c>
    </row>
    <row r="44" spans="2:4" x14ac:dyDescent="0.3">
      <c r="B44" s="182" t="s">
        <v>241</v>
      </c>
      <c r="C44" t="s">
        <v>1139</v>
      </c>
    </row>
    <row r="45" spans="2:4" x14ac:dyDescent="0.3">
      <c r="B45" s="182" t="s">
        <v>1092</v>
      </c>
      <c r="C45" t="s">
        <v>1140</v>
      </c>
      <c r="D45" t="s">
        <v>1149</v>
      </c>
    </row>
    <row r="46" spans="2:4" x14ac:dyDescent="0.3">
      <c r="B46" s="182" t="s">
        <v>1059</v>
      </c>
      <c r="C46" t="s">
        <v>1141</v>
      </c>
    </row>
    <row r="47" spans="2:4" x14ac:dyDescent="0.3">
      <c r="B47" s="182" t="s">
        <v>1093</v>
      </c>
      <c r="C47" t="s">
        <v>1142</v>
      </c>
      <c r="D47" t="s">
        <v>1149</v>
      </c>
    </row>
    <row r="48" spans="2:4" x14ac:dyDescent="0.3">
      <c r="B48" s="182" t="s">
        <v>1094</v>
      </c>
      <c r="C48" t="s">
        <v>1143</v>
      </c>
    </row>
    <row r="49" spans="2:3" x14ac:dyDescent="0.3">
      <c r="B49" s="182" t="s">
        <v>289</v>
      </c>
      <c r="C49" t="s">
        <v>1144</v>
      </c>
    </row>
    <row r="50" spans="2:3" x14ac:dyDescent="0.3">
      <c r="B50" s="182" t="s">
        <v>290</v>
      </c>
      <c r="C50" t="s">
        <v>1145</v>
      </c>
    </row>
    <row r="51" spans="2:3" x14ac:dyDescent="0.3">
      <c r="B51" s="182" t="s">
        <v>1095</v>
      </c>
      <c r="C51" t="s">
        <v>1146</v>
      </c>
    </row>
    <row r="52" spans="2:3" x14ac:dyDescent="0.3">
      <c r="B52" s="182" t="s">
        <v>1096</v>
      </c>
      <c r="C52" t="s">
        <v>1147</v>
      </c>
    </row>
    <row r="53" spans="2:3" x14ac:dyDescent="0.3">
      <c r="B53" s="182" t="s">
        <v>1097</v>
      </c>
      <c r="C53" t="s">
        <v>1147</v>
      </c>
    </row>
    <row r="54" spans="2:3" x14ac:dyDescent="0.3">
      <c r="B54" s="182" t="s">
        <v>1098</v>
      </c>
      <c r="C54" t="s">
        <v>1147</v>
      </c>
    </row>
    <row r="55" spans="2:3" x14ac:dyDescent="0.3">
      <c r="B55" s="182" t="s">
        <v>1099</v>
      </c>
      <c r="C55" t="s">
        <v>1147</v>
      </c>
    </row>
    <row r="56" spans="2:3" x14ac:dyDescent="0.3">
      <c r="B56" s="182" t="s">
        <v>1100</v>
      </c>
      <c r="C56" t="s">
        <v>1147</v>
      </c>
    </row>
    <row r="57" spans="2:3" x14ac:dyDescent="0.3">
      <c r="B57" s="182" t="s">
        <v>1101</v>
      </c>
      <c r="C57" t="s">
        <v>1147</v>
      </c>
    </row>
    <row r="58" spans="2:3" x14ac:dyDescent="0.3">
      <c r="B58" s="182" t="s">
        <v>1102</v>
      </c>
      <c r="C58" t="s">
        <v>1147</v>
      </c>
    </row>
    <row r="59" spans="2:3" x14ac:dyDescent="0.3">
      <c r="B59" s="182" t="s">
        <v>1103</v>
      </c>
      <c r="C59" t="s">
        <v>1147</v>
      </c>
    </row>
    <row r="60" spans="2:3" x14ac:dyDescent="0.3">
      <c r="B60" s="182" t="s">
        <v>1104</v>
      </c>
      <c r="C60" t="s">
        <v>1147</v>
      </c>
    </row>
  </sheetData>
  <hyperlinks>
    <hyperlink ref="B3" location="'Vzorce a funkce'!A1" display="Vzorce a funkce - adresace buněk a oblastí"/>
    <hyperlink ref="B4" location="odkazy!A1" display="Odkazy"/>
    <hyperlink ref="B5" location="'řazení II'!A1" display="Řazení II"/>
    <hyperlink ref="B6" location="řady!A1" display="Řady"/>
    <hyperlink ref="B7" location="Operátory!A1" display="Operátory"/>
    <hyperlink ref="B8" location="mocnina!A1" display="Mocnina"/>
    <hyperlink ref="B9" location="'Styl buňky'!A1" display="Styl buňky"/>
    <hyperlink ref="B10" location="'Styl buňky 2'!A1" display="Styl buňky  2"/>
    <hyperlink ref="B11" location="'Posuvníky (2)'!A1" display="Posuvníky (2)"/>
    <hyperlink ref="B12" location="'Práce s daty'!A1" display="Práce s daty"/>
    <hyperlink ref="B13" location="'Vlastní formát'!A1" display="Vlastní formát"/>
    <hyperlink ref="B14" location="'Podmíněné formátování'!A1" display="Podmíněné formátování"/>
    <hyperlink ref="B15" location="'PF2'!A1" display="PF2"/>
    <hyperlink ref="B16" location="'Přesun kopie'!A1" display="Přesun kopie"/>
    <hyperlink ref="B17" location="Příčky!A1" display="Příčky"/>
    <hyperlink ref="B18" location="'Příčky (2)'!A1" display="Příčky (2)"/>
    <hyperlink ref="B19" location="'Skrýt-Zobrazit'!A1" display="Skrýt-Zobrazit"/>
    <hyperlink ref="B20" location="'Vložit jinak (1)'!A1" display="Vložit Jinak (1)"/>
    <hyperlink ref="B21" location="' Vložit jinak (2)'!A1" display="Vložit jinak (2)"/>
    <hyperlink ref="B22" location="OSVČ_2014!A1" display="OSVČ_2014"/>
    <hyperlink ref="B23" location="celkem!A1" display="leden, únor březen, celkem"/>
    <hyperlink ref="B24" location="Datumy!A1" display="Datumy"/>
    <hyperlink ref="B25" location="'Text-fce'!A1" display="Text-funkce"/>
    <hyperlink ref="B26" location="'Text (2)'!A1" display="Text(2)"/>
    <hyperlink ref="B27" location="'Logické-fce'!A1" display="Logické funkce"/>
    <hyperlink ref="B28" location="'Podmíněné-fce'!A1" display="Podmíněné funkce"/>
    <hyperlink ref="B29" location="'COUNTIF (2)'!A1" display="COUNTIF (2)"/>
    <hyperlink ref="B30" location="Když!A1" display="Když"/>
    <hyperlink ref="B31" location="'RČ-když'!A1" display="RČ - když"/>
    <hyperlink ref="B32" location="Zaokrouhli!A1" display="Zaokrouhli"/>
    <hyperlink ref="B33" location="'Finanční-fce'!A1" display="Finanční funkce"/>
    <hyperlink ref="B34" location="Pořadí!A1" display="Pořadí"/>
    <hyperlink ref="B35" location="'Vyhledávací-fce'!A1" display="Vyhledávací funkce"/>
    <hyperlink ref="B36" location="Vnořená_fce!A1" display="Vnořená funkce"/>
    <hyperlink ref="B37" location="'Kontrola vzorců'!A1" display="Kontrola vzorců"/>
    <hyperlink ref="B38" location="'Graf 1'!A1" display="Graf 1"/>
    <hyperlink ref="B39" location="Porovnání!A1" display="Porovnání"/>
    <hyperlink ref="B40" location="'Graf 2'!A1" display="Graf 2"/>
    <hyperlink ref="B41" location="'Graf 3'!A1" display="Graf 3"/>
    <hyperlink ref="B42" location="'Graf 4'!A1" display="Graf 4"/>
    <hyperlink ref="B43" location="'Graf 5'!A1" display="Graf 5"/>
    <hyperlink ref="B44" location="Obsah!A1" display="Seznamy"/>
    <hyperlink ref="B45" location="Ověření!A1" display="Ověření"/>
    <hyperlink ref="B46" location="Řazení!A1" display="Řazení II"/>
    <hyperlink ref="B47" location="Filtrování!A1" display="Filtrování"/>
    <hyperlink ref="B48" location="Filtrování!A1" display="Databáze"/>
    <hyperlink ref="B49" location="Přehledy!A1" display="Přehledy"/>
    <hyperlink ref="B50" location="Souhrny!A1" display="Souhrny"/>
    <hyperlink ref="B51" location="'Import dat'!A1" display="Import dat"/>
    <hyperlink ref="B52" location="'KT1'!A1" display="Kontingenční tabulky"/>
    <hyperlink ref="B53" location="'KT1'!A1" display="KT1"/>
    <hyperlink ref="B54" location="KT1a!A1" display="KT1a"/>
    <hyperlink ref="B55" location="KT1c!A1" display="KT1c"/>
    <hyperlink ref="B56" location="'KT2'!A1" display="KT2"/>
    <hyperlink ref="B57" location="KT2a!A1" display="KT2a"/>
    <hyperlink ref="B58" location="'KT3'!A1" display="KT3"/>
    <hyperlink ref="B59" location="KT3a!A1" display="KT3a"/>
    <hyperlink ref="B60" location="'KT4'!A1" display="KT4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rgb="FFFFFF00"/>
  </sheetPr>
  <dimension ref="A1:Q114"/>
  <sheetViews>
    <sheetView workbookViewId="0">
      <selection activeCell="I1" sqref="I1"/>
    </sheetView>
  </sheetViews>
  <sheetFormatPr defaultColWidth="9.109375" defaultRowHeight="14.4" x14ac:dyDescent="0.3"/>
  <cols>
    <col min="1" max="1" width="15.6640625" style="2" customWidth="1"/>
    <col min="2" max="2" width="12.6640625" style="2" customWidth="1"/>
    <col min="3" max="3" width="16.109375" style="2" customWidth="1"/>
    <col min="4" max="4" width="12.6640625" style="2" customWidth="1"/>
    <col min="5" max="5" width="20.6640625" style="2" customWidth="1"/>
    <col min="6" max="8" width="15.6640625" style="2" customWidth="1"/>
    <col min="9" max="9" width="27" style="2" customWidth="1"/>
    <col min="10" max="17" width="15.6640625" style="2" customWidth="1"/>
    <col min="18" max="16384" width="9.109375" style="2"/>
  </cols>
  <sheetData>
    <row r="1" spans="1:17" x14ac:dyDescent="0.3">
      <c r="A1" s="176" t="s">
        <v>307</v>
      </c>
      <c r="I1" s="182" t="s">
        <v>1148</v>
      </c>
    </row>
    <row r="2" spans="1:17" x14ac:dyDescent="0.3">
      <c r="A2" s="2" t="s">
        <v>308</v>
      </c>
    </row>
    <row r="3" spans="1:17" x14ac:dyDescent="0.3">
      <c r="A3" s="2" t="s">
        <v>309</v>
      </c>
    </row>
    <row r="4" spans="1:17" x14ac:dyDescent="0.3">
      <c r="A4" s="2" t="s">
        <v>1110</v>
      </c>
    </row>
    <row r="7" spans="1:17" x14ac:dyDescent="0.3">
      <c r="A7" s="218" t="s">
        <v>0</v>
      </c>
      <c r="B7" s="218" t="s">
        <v>1</v>
      </c>
      <c r="C7" s="218" t="s">
        <v>2</v>
      </c>
      <c r="D7" s="223" t="s">
        <v>3</v>
      </c>
      <c r="E7" s="218" t="s">
        <v>4</v>
      </c>
      <c r="F7" s="218" t="s">
        <v>5</v>
      </c>
      <c r="G7" s="218" t="s">
        <v>6</v>
      </c>
    </row>
    <row r="8" spans="1:17" x14ac:dyDescent="0.3">
      <c r="A8" s="219" t="s">
        <v>7</v>
      </c>
      <c r="B8" s="219">
        <v>23675</v>
      </c>
      <c r="C8" s="219">
        <v>1366605</v>
      </c>
      <c r="D8" s="221">
        <v>129935</v>
      </c>
      <c r="E8" s="219" t="s">
        <v>8</v>
      </c>
      <c r="F8" s="219"/>
      <c r="G8" s="219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3">
      <c r="A9" s="219" t="s">
        <v>9</v>
      </c>
      <c r="B9" s="219">
        <v>31249</v>
      </c>
      <c r="C9" s="219">
        <v>569913</v>
      </c>
      <c r="D9" s="221">
        <v>186308</v>
      </c>
      <c r="E9" s="219" t="s">
        <v>10</v>
      </c>
      <c r="F9" s="219"/>
      <c r="G9" s="219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">
      <c r="A10" s="219" t="s">
        <v>11</v>
      </c>
      <c r="B10" s="219">
        <v>30073</v>
      </c>
      <c r="C10" s="219">
        <v>343060</v>
      </c>
      <c r="D10" s="221">
        <v>111632</v>
      </c>
      <c r="E10" s="219" t="s">
        <v>10</v>
      </c>
      <c r="F10" s="219"/>
      <c r="G10" s="219"/>
      <c r="H10" s="4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3">
      <c r="A11" s="219" t="s">
        <v>12</v>
      </c>
      <c r="B11" s="219">
        <v>22707</v>
      </c>
      <c r="C11" s="219">
        <v>388158</v>
      </c>
      <c r="D11" s="221">
        <v>59190</v>
      </c>
      <c r="E11" s="219" t="s">
        <v>13</v>
      </c>
      <c r="F11" s="219"/>
      <c r="G11" s="219"/>
      <c r="H11" s="3"/>
      <c r="I11" s="5"/>
      <c r="J11" s="3"/>
      <c r="K11" s="3"/>
      <c r="L11" s="3"/>
      <c r="M11" s="3"/>
      <c r="N11" s="3"/>
      <c r="O11" s="3"/>
      <c r="P11" s="3"/>
      <c r="Q11" s="3"/>
    </row>
    <row r="12" spans="1:17" x14ac:dyDescent="0.3">
      <c r="A12" s="219" t="s">
        <v>14</v>
      </c>
      <c r="B12" s="219">
        <v>23292</v>
      </c>
      <c r="C12" s="219">
        <v>381410</v>
      </c>
      <c r="D12" s="221">
        <v>68921</v>
      </c>
      <c r="E12" s="219" t="s">
        <v>15</v>
      </c>
      <c r="F12" s="219"/>
      <c r="G12" s="219"/>
      <c r="H12" s="3"/>
      <c r="I12" s="6"/>
      <c r="J12" s="3"/>
      <c r="K12" s="3"/>
      <c r="L12" s="3"/>
      <c r="M12" s="3"/>
      <c r="N12" s="3"/>
      <c r="O12" s="3"/>
      <c r="P12" s="3"/>
      <c r="Q12" s="3"/>
    </row>
    <row r="13" spans="1:17" x14ac:dyDescent="0.3">
      <c r="A13" s="219" t="s">
        <v>16</v>
      </c>
      <c r="B13" s="219">
        <v>33992</v>
      </c>
      <c r="C13" s="219">
        <v>443965</v>
      </c>
      <c r="D13" s="221">
        <v>114764</v>
      </c>
      <c r="E13" s="219" t="s">
        <v>17</v>
      </c>
      <c r="F13" s="219"/>
      <c r="G13" s="219"/>
      <c r="H13" s="3"/>
      <c r="I13" s="7"/>
      <c r="J13" s="3"/>
      <c r="K13" s="3"/>
      <c r="L13" s="3"/>
      <c r="M13" s="3"/>
      <c r="N13" s="3"/>
      <c r="O13" s="3"/>
      <c r="P13" s="3"/>
      <c r="Q13" s="3"/>
    </row>
    <row r="14" spans="1:17" x14ac:dyDescent="0.3">
      <c r="A14" s="219" t="s">
        <v>18</v>
      </c>
      <c r="B14" s="219">
        <v>27926</v>
      </c>
      <c r="C14" s="219">
        <v>402156</v>
      </c>
      <c r="D14" s="221">
        <v>66375</v>
      </c>
      <c r="E14" s="219" t="s">
        <v>13</v>
      </c>
      <c r="F14" s="219"/>
      <c r="G14" s="219"/>
      <c r="H14" s="3"/>
      <c r="I14" s="8"/>
      <c r="J14" s="3"/>
      <c r="K14" s="3"/>
      <c r="L14" s="3"/>
      <c r="M14" s="3"/>
      <c r="N14" s="3"/>
      <c r="O14" s="3"/>
      <c r="P14" s="3"/>
      <c r="Q14" s="3"/>
    </row>
    <row r="15" spans="1:17" x14ac:dyDescent="0.3">
      <c r="A15" s="219" t="s">
        <v>19</v>
      </c>
      <c r="B15" s="219">
        <v>27442</v>
      </c>
      <c r="C15" s="219">
        <v>326454</v>
      </c>
      <c r="D15" s="221">
        <v>74802</v>
      </c>
      <c r="E15" s="219" t="s">
        <v>13</v>
      </c>
      <c r="F15" s="219"/>
      <c r="G15" s="219"/>
      <c r="H15" s="3"/>
      <c r="I15" s="9"/>
      <c r="J15" s="3"/>
      <c r="K15" s="3"/>
      <c r="L15" s="3"/>
      <c r="M15" s="3"/>
      <c r="N15" s="3"/>
      <c r="O15" s="3"/>
      <c r="P15" s="3"/>
      <c r="Q15" s="3"/>
    </row>
    <row r="16" spans="1:17" x14ac:dyDescent="0.3">
      <c r="A16" s="219" t="s">
        <v>20</v>
      </c>
      <c r="B16" s="219">
        <v>29563</v>
      </c>
      <c r="C16" s="219">
        <v>333631</v>
      </c>
      <c r="D16" s="221">
        <v>155749</v>
      </c>
      <c r="E16" s="219" t="s">
        <v>10</v>
      </c>
      <c r="F16" s="219"/>
      <c r="G16" s="219"/>
      <c r="H16" s="3"/>
      <c r="I16" s="10"/>
      <c r="J16" s="3"/>
      <c r="K16" s="3"/>
      <c r="L16" s="3"/>
      <c r="M16" s="3"/>
      <c r="N16" s="3"/>
      <c r="O16" s="3"/>
      <c r="P16" s="3"/>
      <c r="Q16" s="3"/>
    </row>
    <row r="17" spans="1:17" x14ac:dyDescent="0.3">
      <c r="A17" s="219" t="s">
        <v>21</v>
      </c>
      <c r="B17" s="219">
        <v>33009</v>
      </c>
      <c r="C17" s="219">
        <v>374691</v>
      </c>
      <c r="D17" s="221">
        <v>90654</v>
      </c>
      <c r="E17" s="219" t="s">
        <v>10</v>
      </c>
      <c r="F17" s="219"/>
      <c r="G17" s="219"/>
      <c r="H17" s="3"/>
      <c r="I17" s="11"/>
      <c r="J17" s="3"/>
      <c r="K17" s="3"/>
      <c r="L17" s="3"/>
      <c r="M17" s="3"/>
      <c r="N17" s="3"/>
      <c r="O17" s="3"/>
      <c r="P17" s="3"/>
      <c r="Q17" s="3"/>
    </row>
    <row r="18" spans="1:17" x14ac:dyDescent="0.3">
      <c r="A18" s="219" t="s">
        <v>22</v>
      </c>
      <c r="B18" s="219">
        <v>31468</v>
      </c>
      <c r="C18" s="219">
        <v>278110</v>
      </c>
      <c r="D18" s="221">
        <v>85329</v>
      </c>
      <c r="E18" s="219" t="s">
        <v>17</v>
      </c>
      <c r="F18" s="219"/>
      <c r="G18" s="219"/>
      <c r="H18" s="3"/>
      <c r="I18" s="12"/>
      <c r="J18" s="3"/>
      <c r="K18" s="3"/>
      <c r="L18" s="3"/>
      <c r="M18" s="3"/>
      <c r="N18" s="3"/>
      <c r="O18" s="3"/>
      <c r="P18" s="3"/>
      <c r="Q18" s="3"/>
    </row>
    <row r="19" spans="1:17" x14ac:dyDescent="0.3">
      <c r="A19" s="219" t="s">
        <v>23</v>
      </c>
      <c r="B19" s="219">
        <v>34068</v>
      </c>
      <c r="C19" s="219">
        <v>442974</v>
      </c>
      <c r="D19" s="221">
        <v>25668</v>
      </c>
      <c r="E19" s="219" t="s">
        <v>17</v>
      </c>
      <c r="F19" s="219"/>
      <c r="G19" s="219"/>
      <c r="H19" s="3"/>
      <c r="I19" s="13"/>
      <c r="J19" s="3"/>
      <c r="K19" s="3"/>
      <c r="L19" s="3"/>
      <c r="M19" s="3"/>
      <c r="N19" s="3"/>
      <c r="O19" s="3"/>
      <c r="P19" s="3"/>
      <c r="Q19" s="3"/>
    </row>
    <row r="20" spans="1:17" x14ac:dyDescent="0.3">
      <c r="A20" s="219" t="s">
        <v>24</v>
      </c>
      <c r="B20" s="219">
        <v>27237</v>
      </c>
      <c r="C20" s="219">
        <v>518932</v>
      </c>
      <c r="D20" s="221">
        <v>53512</v>
      </c>
      <c r="E20" s="219" t="s">
        <v>15</v>
      </c>
      <c r="F20" s="219"/>
      <c r="G20" s="219"/>
      <c r="H20" s="3"/>
      <c r="I20" s="14"/>
      <c r="J20" s="3"/>
      <c r="K20" s="3"/>
      <c r="L20" s="3"/>
      <c r="M20" s="3"/>
      <c r="N20" s="3"/>
      <c r="O20" s="3"/>
      <c r="P20" s="3"/>
      <c r="Q20" s="3"/>
    </row>
    <row r="21" spans="1:17" x14ac:dyDescent="0.3">
      <c r="A21" s="219" t="s">
        <v>25</v>
      </c>
      <c r="B21" s="219">
        <v>28961</v>
      </c>
      <c r="C21" s="219">
        <v>436695</v>
      </c>
      <c r="D21" s="221">
        <v>33786</v>
      </c>
      <c r="E21" s="219" t="s">
        <v>8</v>
      </c>
      <c r="F21" s="219"/>
      <c r="G21" s="219"/>
      <c r="H21" s="3"/>
      <c r="I21" s="15"/>
      <c r="J21" s="3"/>
      <c r="K21" s="3"/>
      <c r="L21" s="3"/>
      <c r="M21" s="3"/>
      <c r="N21" s="3"/>
      <c r="O21" s="3"/>
      <c r="P21" s="3"/>
      <c r="Q21" s="3"/>
    </row>
    <row r="22" spans="1:17" x14ac:dyDescent="0.3">
      <c r="A22" s="219" t="s">
        <v>26</v>
      </c>
      <c r="B22" s="219">
        <v>20713</v>
      </c>
      <c r="C22" s="219">
        <v>311878</v>
      </c>
      <c r="D22" s="221">
        <v>50629</v>
      </c>
      <c r="E22" s="219" t="s">
        <v>15</v>
      </c>
      <c r="F22" s="219"/>
      <c r="G22" s="219"/>
      <c r="H22" s="3"/>
      <c r="I22" s="16"/>
      <c r="J22" s="3"/>
      <c r="K22" s="3"/>
      <c r="L22" s="3"/>
      <c r="M22" s="3"/>
      <c r="N22" s="3"/>
      <c r="O22" s="3"/>
      <c r="P22" s="3"/>
      <c r="Q22" s="3"/>
    </row>
    <row r="23" spans="1:17" x14ac:dyDescent="0.3">
      <c r="A23" s="219" t="s">
        <v>27</v>
      </c>
      <c r="B23" s="219">
        <v>34536</v>
      </c>
      <c r="C23" s="219">
        <v>449470</v>
      </c>
      <c r="D23" s="221">
        <v>52235</v>
      </c>
      <c r="E23" s="219" t="s">
        <v>15</v>
      </c>
      <c r="F23" s="219"/>
      <c r="G23" s="219"/>
      <c r="H23" s="3"/>
      <c r="I23" s="17"/>
      <c r="J23" s="3"/>
      <c r="K23" s="3"/>
      <c r="L23" s="3"/>
      <c r="M23" s="3"/>
      <c r="N23" s="3"/>
      <c r="O23" s="3"/>
      <c r="P23" s="3"/>
      <c r="Q23" s="3"/>
    </row>
    <row r="24" spans="1:17" x14ac:dyDescent="0.3">
      <c r="A24" s="219" t="s">
        <v>28</v>
      </c>
      <c r="B24" s="219">
        <v>32473</v>
      </c>
      <c r="C24" s="219">
        <v>479423</v>
      </c>
      <c r="D24" s="221">
        <v>166224</v>
      </c>
      <c r="E24" s="219" t="s">
        <v>15</v>
      </c>
      <c r="F24" s="219"/>
      <c r="G24" s="219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3">
      <c r="A25" s="219" t="s">
        <v>29</v>
      </c>
      <c r="B25" s="219">
        <v>22201</v>
      </c>
      <c r="C25" s="219">
        <v>342386</v>
      </c>
      <c r="D25" s="221">
        <v>144909</v>
      </c>
      <c r="E25" s="219" t="s">
        <v>17</v>
      </c>
      <c r="F25" s="219"/>
      <c r="G25" s="219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3">
      <c r="A26" s="219" t="s">
        <v>30</v>
      </c>
      <c r="B26" s="219">
        <v>20820</v>
      </c>
      <c r="C26" s="219">
        <v>587995</v>
      </c>
      <c r="D26" s="221">
        <v>96094</v>
      </c>
      <c r="E26" s="219" t="s">
        <v>10</v>
      </c>
      <c r="F26" s="219"/>
      <c r="G26" s="219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3">
      <c r="A27" s="219" t="s">
        <v>31</v>
      </c>
      <c r="B27" s="219">
        <v>20374</v>
      </c>
      <c r="C27" s="219">
        <v>689017</v>
      </c>
      <c r="D27" s="221">
        <v>212428</v>
      </c>
      <c r="E27" s="219" t="s">
        <v>10</v>
      </c>
      <c r="F27" s="219"/>
      <c r="G27" s="219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3">
      <c r="A28" s="219" t="s">
        <v>32</v>
      </c>
      <c r="B28" s="219">
        <v>26900</v>
      </c>
      <c r="C28" s="219">
        <v>380780</v>
      </c>
      <c r="D28" s="221">
        <v>66245</v>
      </c>
      <c r="E28" s="219" t="s">
        <v>8</v>
      </c>
      <c r="F28" s="219"/>
      <c r="G28" s="219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3">
      <c r="A29" s="219" t="s">
        <v>33</v>
      </c>
      <c r="B29" s="219">
        <v>34075</v>
      </c>
      <c r="C29" s="219">
        <v>347609</v>
      </c>
      <c r="D29" s="221">
        <v>90642</v>
      </c>
      <c r="E29" s="219" t="s">
        <v>17</v>
      </c>
      <c r="F29" s="219"/>
      <c r="G29" s="219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3">
      <c r="A30" s="219" t="s">
        <v>34</v>
      </c>
      <c r="B30" s="219">
        <v>25378</v>
      </c>
      <c r="C30" s="219">
        <v>426640</v>
      </c>
      <c r="D30" s="221">
        <v>160538</v>
      </c>
      <c r="E30" s="219" t="s">
        <v>17</v>
      </c>
      <c r="F30" s="219"/>
      <c r="G30" s="219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3">
      <c r="A31" s="219" t="s">
        <v>35</v>
      </c>
      <c r="B31" s="219">
        <v>25890</v>
      </c>
      <c r="C31" s="219">
        <v>541834</v>
      </c>
      <c r="D31" s="221">
        <v>42419</v>
      </c>
      <c r="E31" s="219" t="s">
        <v>8</v>
      </c>
      <c r="F31" s="219"/>
      <c r="G31" s="219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3">
      <c r="A32" s="219" t="s">
        <v>36</v>
      </c>
      <c r="B32" s="219">
        <v>31635</v>
      </c>
      <c r="C32" s="219">
        <v>343189</v>
      </c>
      <c r="D32" s="221">
        <v>134070</v>
      </c>
      <c r="E32" s="219" t="s">
        <v>15</v>
      </c>
      <c r="F32" s="219"/>
      <c r="G32" s="219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7" x14ac:dyDescent="0.3">
      <c r="A33" s="219" t="s">
        <v>37</v>
      </c>
      <c r="B33" s="219">
        <v>33881</v>
      </c>
      <c r="C33" s="219">
        <v>262016</v>
      </c>
      <c r="D33" s="221">
        <v>33930</v>
      </c>
      <c r="E33" s="219" t="s">
        <v>10</v>
      </c>
      <c r="F33" s="219"/>
      <c r="G33" s="219"/>
    </row>
    <row r="34" spans="1:7" x14ac:dyDescent="0.3">
      <c r="A34" s="219" t="s">
        <v>38</v>
      </c>
      <c r="B34" s="219">
        <v>25529</v>
      </c>
      <c r="C34" s="219">
        <v>297970</v>
      </c>
      <c r="D34" s="221">
        <v>130493</v>
      </c>
      <c r="E34" s="219" t="s">
        <v>17</v>
      </c>
      <c r="F34" s="219"/>
      <c r="G34" s="219"/>
    </row>
    <row r="35" spans="1:7" x14ac:dyDescent="0.3">
      <c r="A35" s="219" t="s">
        <v>39</v>
      </c>
      <c r="B35" s="219">
        <v>21327</v>
      </c>
      <c r="C35" s="219">
        <v>539732</v>
      </c>
      <c r="D35" s="221">
        <v>106500</v>
      </c>
      <c r="E35" s="219" t="s">
        <v>15</v>
      </c>
      <c r="F35" s="219"/>
      <c r="G35" s="219"/>
    </row>
    <row r="36" spans="1:7" x14ac:dyDescent="0.3">
      <c r="A36" s="219" t="s">
        <v>40</v>
      </c>
      <c r="B36" s="219">
        <v>21509</v>
      </c>
      <c r="C36" s="219">
        <v>318624</v>
      </c>
      <c r="D36" s="221">
        <v>82665</v>
      </c>
      <c r="E36" s="219" t="s">
        <v>17</v>
      </c>
      <c r="F36" s="219"/>
      <c r="G36" s="219"/>
    </row>
    <row r="37" spans="1:7" x14ac:dyDescent="0.3">
      <c r="A37" s="219" t="s">
        <v>41</v>
      </c>
      <c r="B37" s="219">
        <v>31599</v>
      </c>
      <c r="C37" s="219">
        <v>486450</v>
      </c>
      <c r="D37" s="221">
        <v>27506</v>
      </c>
      <c r="E37" s="219" t="s">
        <v>13</v>
      </c>
      <c r="F37" s="219"/>
      <c r="G37" s="219"/>
    </row>
    <row r="38" spans="1:7" x14ac:dyDescent="0.3">
      <c r="A38" s="219" t="s">
        <v>42</v>
      </c>
      <c r="B38" s="219">
        <v>34271</v>
      </c>
      <c r="C38" s="219">
        <v>315602</v>
      </c>
      <c r="D38" s="221">
        <v>130199</v>
      </c>
      <c r="E38" s="219" t="s">
        <v>17</v>
      </c>
      <c r="F38" s="219"/>
      <c r="G38" s="219"/>
    </row>
    <row r="39" spans="1:7" x14ac:dyDescent="0.3">
      <c r="A39" s="219" t="s">
        <v>43</v>
      </c>
      <c r="B39" s="219">
        <v>20909</v>
      </c>
      <c r="C39" s="219">
        <v>278381</v>
      </c>
      <c r="D39" s="221">
        <v>123786</v>
      </c>
      <c r="E39" s="219" t="s">
        <v>17</v>
      </c>
      <c r="F39" s="219"/>
      <c r="G39" s="219"/>
    </row>
    <row r="40" spans="1:7" x14ac:dyDescent="0.3">
      <c r="A40" s="219" t="s">
        <v>44</v>
      </c>
      <c r="B40" s="219">
        <v>22427</v>
      </c>
      <c r="C40" s="219">
        <v>303276</v>
      </c>
      <c r="D40" s="221">
        <v>86499</v>
      </c>
      <c r="E40" s="219" t="s">
        <v>8</v>
      </c>
      <c r="F40" s="219"/>
      <c r="G40" s="219"/>
    </row>
    <row r="41" spans="1:7" x14ac:dyDescent="0.3">
      <c r="A41" s="219" t="s">
        <v>45</v>
      </c>
      <c r="B41" s="219">
        <v>33727</v>
      </c>
      <c r="C41" s="219">
        <v>512991</v>
      </c>
      <c r="D41" s="221">
        <v>114762</v>
      </c>
      <c r="E41" s="219" t="s">
        <v>17</v>
      </c>
      <c r="F41" s="219"/>
      <c r="G41" s="219"/>
    </row>
    <row r="42" spans="1:7" x14ac:dyDescent="0.3">
      <c r="A42" s="219" t="s">
        <v>46</v>
      </c>
      <c r="B42" s="219">
        <v>24445</v>
      </c>
      <c r="C42" s="219">
        <v>339942</v>
      </c>
      <c r="D42" s="221">
        <v>88310</v>
      </c>
      <c r="E42" s="219" t="s">
        <v>8</v>
      </c>
      <c r="F42" s="219"/>
      <c r="G42" s="219"/>
    </row>
    <row r="43" spans="1:7" x14ac:dyDescent="0.3">
      <c r="A43" s="219" t="s">
        <v>47</v>
      </c>
      <c r="B43" s="219">
        <v>20455</v>
      </c>
      <c r="C43" s="219">
        <v>474324</v>
      </c>
      <c r="D43" s="221">
        <v>100029</v>
      </c>
      <c r="E43" s="219" t="s">
        <v>8</v>
      </c>
      <c r="F43" s="219"/>
      <c r="G43" s="219"/>
    </row>
    <row r="44" spans="1:7" x14ac:dyDescent="0.3">
      <c r="A44" s="219" t="s">
        <v>48</v>
      </c>
      <c r="B44" s="219">
        <v>23157</v>
      </c>
      <c r="C44" s="219">
        <v>433871</v>
      </c>
      <c r="D44" s="221">
        <v>163810</v>
      </c>
      <c r="E44" s="219" t="s">
        <v>17</v>
      </c>
      <c r="F44" s="219"/>
      <c r="G44" s="219"/>
    </row>
    <row r="45" spans="1:7" x14ac:dyDescent="0.3">
      <c r="A45" s="219" t="s">
        <v>49</v>
      </c>
      <c r="B45" s="219">
        <v>27457</v>
      </c>
      <c r="C45" s="219">
        <v>344424</v>
      </c>
      <c r="D45" s="221">
        <v>168676</v>
      </c>
      <c r="E45" s="219" t="s">
        <v>8</v>
      </c>
      <c r="F45" s="219"/>
      <c r="G45" s="219"/>
    </row>
    <row r="46" spans="1:7" x14ac:dyDescent="0.3">
      <c r="A46" s="219" t="s">
        <v>50</v>
      </c>
      <c r="B46" s="219">
        <v>29179</v>
      </c>
      <c r="C46" s="219">
        <v>637576</v>
      </c>
      <c r="D46" s="221">
        <v>166533</v>
      </c>
      <c r="E46" s="219" t="s">
        <v>15</v>
      </c>
      <c r="F46" s="219"/>
      <c r="G46" s="219"/>
    </row>
    <row r="47" spans="1:7" x14ac:dyDescent="0.3">
      <c r="A47" s="219" t="s">
        <v>51</v>
      </c>
      <c r="B47" s="219">
        <v>33108</v>
      </c>
      <c r="C47" s="219">
        <v>410362</v>
      </c>
      <c r="D47" s="221">
        <v>189986</v>
      </c>
      <c r="E47" s="219" t="s">
        <v>8</v>
      </c>
      <c r="F47" s="219"/>
      <c r="G47" s="219"/>
    </row>
    <row r="48" spans="1:7" x14ac:dyDescent="0.3">
      <c r="A48" s="219" t="s">
        <v>52</v>
      </c>
      <c r="B48" s="219">
        <v>22412</v>
      </c>
      <c r="C48" s="219">
        <v>194961</v>
      </c>
      <c r="D48" s="221">
        <v>36323</v>
      </c>
      <c r="E48" s="219" t="s">
        <v>8</v>
      </c>
      <c r="F48" s="219"/>
      <c r="G48" s="219"/>
    </row>
    <row r="49" spans="1:7" x14ac:dyDescent="0.3">
      <c r="A49" s="219" t="s">
        <v>53</v>
      </c>
      <c r="B49" s="219">
        <v>32707</v>
      </c>
      <c r="C49" s="219">
        <v>385452</v>
      </c>
      <c r="D49" s="221">
        <v>121933</v>
      </c>
      <c r="E49" s="219" t="s">
        <v>15</v>
      </c>
      <c r="F49" s="219"/>
      <c r="G49" s="219"/>
    </row>
    <row r="50" spans="1:7" x14ac:dyDescent="0.3">
      <c r="A50" s="219" t="s">
        <v>54</v>
      </c>
      <c r="B50" s="219">
        <v>28762</v>
      </c>
      <c r="C50" s="219">
        <v>480960</v>
      </c>
      <c r="D50" s="221">
        <v>185816</v>
      </c>
      <c r="E50" s="219" t="s">
        <v>13</v>
      </c>
      <c r="F50" s="219"/>
      <c r="G50" s="219"/>
    </row>
    <row r="51" spans="1:7" x14ac:dyDescent="0.3">
      <c r="A51" s="219" t="s">
        <v>55</v>
      </c>
      <c r="B51" s="219">
        <v>31277</v>
      </c>
      <c r="C51" s="219">
        <v>347255</v>
      </c>
      <c r="D51" s="221">
        <v>117734</v>
      </c>
      <c r="E51" s="219" t="s">
        <v>17</v>
      </c>
      <c r="F51" s="219"/>
      <c r="G51" s="219"/>
    </row>
    <row r="52" spans="1:7" x14ac:dyDescent="0.3">
      <c r="A52" s="219" t="s">
        <v>56</v>
      </c>
      <c r="B52" s="219">
        <v>31846</v>
      </c>
      <c r="C52" s="219">
        <v>521081</v>
      </c>
      <c r="D52" s="221">
        <v>142055</v>
      </c>
      <c r="E52" s="219" t="s">
        <v>10</v>
      </c>
      <c r="F52" s="219"/>
      <c r="G52" s="219"/>
    </row>
    <row r="53" spans="1:7" x14ac:dyDescent="0.3">
      <c r="A53" s="219" t="s">
        <v>57</v>
      </c>
      <c r="B53" s="219">
        <v>33287</v>
      </c>
      <c r="C53" s="219">
        <v>492750</v>
      </c>
      <c r="D53" s="221">
        <v>90073</v>
      </c>
      <c r="E53" s="219" t="s">
        <v>15</v>
      </c>
      <c r="F53" s="219"/>
      <c r="G53" s="219"/>
    </row>
    <row r="54" spans="1:7" x14ac:dyDescent="0.3">
      <c r="A54" s="219" t="s">
        <v>58</v>
      </c>
      <c r="B54" s="219">
        <v>34087</v>
      </c>
      <c r="C54" s="219">
        <v>290314</v>
      </c>
      <c r="D54" s="221">
        <v>136491</v>
      </c>
      <c r="E54" s="219" t="s">
        <v>10</v>
      </c>
      <c r="F54" s="219"/>
      <c r="G54" s="219"/>
    </row>
    <row r="55" spans="1:7" x14ac:dyDescent="0.3">
      <c r="A55" s="219" t="s">
        <v>59</v>
      </c>
      <c r="B55" s="219">
        <v>32568</v>
      </c>
      <c r="C55" s="219">
        <v>615932</v>
      </c>
      <c r="D55" s="221">
        <v>178911</v>
      </c>
      <c r="E55" s="219" t="s">
        <v>17</v>
      </c>
      <c r="F55" s="219"/>
      <c r="G55" s="219"/>
    </row>
    <row r="56" spans="1:7" x14ac:dyDescent="0.3">
      <c r="A56" s="219" t="s">
        <v>60</v>
      </c>
      <c r="B56" s="219">
        <v>26912</v>
      </c>
      <c r="C56" s="219">
        <v>395489</v>
      </c>
      <c r="D56" s="221">
        <v>149428</v>
      </c>
      <c r="E56" s="219" t="s">
        <v>15</v>
      </c>
      <c r="F56" s="219"/>
      <c r="G56" s="219"/>
    </row>
    <row r="57" spans="1:7" x14ac:dyDescent="0.3">
      <c r="A57" s="219" t="s">
        <v>61</v>
      </c>
      <c r="B57" s="219">
        <v>26023</v>
      </c>
      <c r="C57" s="219">
        <v>385800</v>
      </c>
      <c r="D57" s="221">
        <v>130701</v>
      </c>
      <c r="E57" s="219" t="s">
        <v>17</v>
      </c>
      <c r="F57" s="219"/>
      <c r="G57" s="219"/>
    </row>
    <row r="58" spans="1:7" x14ac:dyDescent="0.3">
      <c r="A58" s="219" t="s">
        <v>62</v>
      </c>
      <c r="B58" s="219">
        <v>26553</v>
      </c>
      <c r="C58" s="219">
        <v>306853</v>
      </c>
      <c r="D58" s="221">
        <v>96387</v>
      </c>
      <c r="E58" s="219" t="s">
        <v>8</v>
      </c>
      <c r="F58" s="219"/>
      <c r="G58" s="219"/>
    </row>
    <row r="59" spans="1:7" x14ac:dyDescent="0.3">
      <c r="A59" s="219" t="s">
        <v>63</v>
      </c>
      <c r="B59" s="219">
        <v>23666</v>
      </c>
      <c r="C59" s="219">
        <v>490570</v>
      </c>
      <c r="D59" s="221">
        <v>49986</v>
      </c>
      <c r="E59" s="219" t="s">
        <v>17</v>
      </c>
      <c r="F59" s="219"/>
      <c r="G59" s="219"/>
    </row>
    <row r="60" spans="1:7" x14ac:dyDescent="0.3">
      <c r="A60" s="219" t="s">
        <v>64</v>
      </c>
      <c r="B60" s="219">
        <v>23919</v>
      </c>
      <c r="C60" s="219">
        <v>410913</v>
      </c>
      <c r="D60" s="221">
        <v>139842</v>
      </c>
      <c r="E60" s="219" t="s">
        <v>15</v>
      </c>
      <c r="F60" s="219"/>
      <c r="G60" s="219"/>
    </row>
    <row r="61" spans="1:7" x14ac:dyDescent="0.3">
      <c r="A61" s="219" t="s">
        <v>65</v>
      </c>
      <c r="B61" s="219">
        <v>33553</v>
      </c>
      <c r="C61" s="219">
        <v>410571</v>
      </c>
      <c r="D61" s="221">
        <v>99442</v>
      </c>
      <c r="E61" s="219" t="s">
        <v>10</v>
      </c>
      <c r="F61" s="219"/>
      <c r="G61" s="219"/>
    </row>
    <row r="62" spans="1:7" x14ac:dyDescent="0.3">
      <c r="A62" s="219" t="s">
        <v>66</v>
      </c>
      <c r="B62" s="219">
        <v>22429</v>
      </c>
      <c r="C62" s="219">
        <v>290915</v>
      </c>
      <c r="D62" s="221">
        <v>3925</v>
      </c>
      <c r="E62" s="219" t="s">
        <v>8</v>
      </c>
      <c r="F62" s="219"/>
      <c r="G62" s="219"/>
    </row>
    <row r="63" spans="1:7" x14ac:dyDescent="0.3">
      <c r="A63" s="219" t="s">
        <v>67</v>
      </c>
      <c r="B63" s="219">
        <v>23039</v>
      </c>
      <c r="C63" s="219">
        <v>445544</v>
      </c>
      <c r="D63" s="221">
        <v>183086</v>
      </c>
      <c r="E63" s="219" t="s">
        <v>15</v>
      </c>
      <c r="F63" s="219"/>
      <c r="G63" s="219"/>
    </row>
    <row r="64" spans="1:7" x14ac:dyDescent="0.3">
      <c r="A64" s="219" t="s">
        <v>68</v>
      </c>
      <c r="B64" s="219">
        <v>22919</v>
      </c>
      <c r="C64" s="219">
        <v>601960</v>
      </c>
      <c r="D64" s="221">
        <v>143859</v>
      </c>
      <c r="E64" s="219" t="s">
        <v>15</v>
      </c>
      <c r="F64" s="219"/>
      <c r="G64" s="219"/>
    </row>
    <row r="65" spans="1:7" x14ac:dyDescent="0.3">
      <c r="A65" s="219" t="s">
        <v>69</v>
      </c>
      <c r="B65" s="219">
        <v>25313</v>
      </c>
      <c r="C65" s="219">
        <v>376333</v>
      </c>
      <c r="D65" s="221">
        <v>176375</v>
      </c>
      <c r="E65" s="219" t="s">
        <v>10</v>
      </c>
      <c r="F65" s="219"/>
      <c r="G65" s="219"/>
    </row>
    <row r="66" spans="1:7" x14ac:dyDescent="0.3">
      <c r="A66" s="219" t="s">
        <v>70</v>
      </c>
      <c r="B66" s="219">
        <v>21876</v>
      </c>
      <c r="C66" s="219">
        <v>497940</v>
      </c>
      <c r="D66" s="221">
        <v>119848</v>
      </c>
      <c r="E66" s="219" t="s">
        <v>10</v>
      </c>
      <c r="F66" s="219"/>
      <c r="G66" s="219"/>
    </row>
    <row r="67" spans="1:7" x14ac:dyDescent="0.3">
      <c r="A67" s="219" t="s">
        <v>71</v>
      </c>
      <c r="B67" s="219">
        <v>27394</v>
      </c>
      <c r="C67" s="219">
        <v>303812</v>
      </c>
      <c r="D67" s="221">
        <v>109341</v>
      </c>
      <c r="E67" s="219" t="s">
        <v>10</v>
      </c>
      <c r="F67" s="219"/>
      <c r="G67" s="219"/>
    </row>
    <row r="68" spans="1:7" x14ac:dyDescent="0.3">
      <c r="A68" s="219" t="s">
        <v>72</v>
      </c>
      <c r="B68" s="219">
        <v>25748</v>
      </c>
      <c r="C68" s="219">
        <v>309283</v>
      </c>
      <c r="D68" s="221">
        <v>143540</v>
      </c>
      <c r="E68" s="219" t="s">
        <v>17</v>
      </c>
      <c r="F68" s="219"/>
      <c r="G68" s="219"/>
    </row>
    <row r="69" spans="1:7" x14ac:dyDescent="0.3">
      <c r="A69" s="219" t="s">
        <v>73</v>
      </c>
      <c r="B69" s="219">
        <v>20289</v>
      </c>
      <c r="C69" s="219">
        <v>256903</v>
      </c>
      <c r="D69" s="221">
        <v>49167</v>
      </c>
      <c r="E69" s="219" t="s">
        <v>10</v>
      </c>
      <c r="F69" s="219"/>
      <c r="G69" s="219"/>
    </row>
    <row r="70" spans="1:7" x14ac:dyDescent="0.3">
      <c r="A70" s="219" t="s">
        <v>74</v>
      </c>
      <c r="B70" s="219">
        <v>33721</v>
      </c>
      <c r="C70" s="219">
        <v>420810</v>
      </c>
      <c r="D70" s="221">
        <v>77783</v>
      </c>
      <c r="E70" s="219" t="s">
        <v>17</v>
      </c>
      <c r="F70" s="219"/>
      <c r="G70" s="219"/>
    </row>
    <row r="71" spans="1:7" x14ac:dyDescent="0.3">
      <c r="A71" s="219" t="s">
        <v>75</v>
      </c>
      <c r="B71" s="219">
        <v>27946</v>
      </c>
      <c r="C71" s="219">
        <v>385035</v>
      </c>
      <c r="D71" s="221">
        <v>151340</v>
      </c>
      <c r="E71" s="219" t="s">
        <v>17</v>
      </c>
      <c r="F71" s="219"/>
      <c r="G71" s="219"/>
    </row>
    <row r="72" spans="1:7" x14ac:dyDescent="0.3">
      <c r="A72" s="219" t="s">
        <v>76</v>
      </c>
      <c r="B72" s="219">
        <v>28818</v>
      </c>
      <c r="C72" s="219">
        <v>381041</v>
      </c>
      <c r="D72" s="221">
        <v>115575</v>
      </c>
      <c r="E72" s="219" t="s">
        <v>15</v>
      </c>
      <c r="F72" s="219"/>
      <c r="G72" s="219"/>
    </row>
    <row r="73" spans="1:7" x14ac:dyDescent="0.3">
      <c r="A73" s="219" t="s">
        <v>77</v>
      </c>
      <c r="B73" s="219">
        <v>29207</v>
      </c>
      <c r="C73" s="219">
        <v>284820</v>
      </c>
      <c r="D73" s="221">
        <v>112311</v>
      </c>
      <c r="E73" s="219" t="s">
        <v>15</v>
      </c>
      <c r="F73" s="219"/>
      <c r="G73" s="219"/>
    </row>
    <row r="74" spans="1:7" x14ac:dyDescent="0.3">
      <c r="A74" s="219" t="s">
        <v>78</v>
      </c>
      <c r="B74" s="219">
        <v>27535</v>
      </c>
      <c r="C74" s="219">
        <v>628593</v>
      </c>
      <c r="D74" s="221">
        <v>162468</v>
      </c>
      <c r="E74" s="219" t="s">
        <v>15</v>
      </c>
      <c r="F74" s="219"/>
      <c r="G74" s="219"/>
    </row>
    <row r="75" spans="1:7" x14ac:dyDescent="0.3">
      <c r="A75" s="219" t="s">
        <v>79</v>
      </c>
      <c r="B75" s="219">
        <v>21868</v>
      </c>
      <c r="C75" s="219">
        <v>375109</v>
      </c>
      <c r="D75" s="221">
        <v>75526</v>
      </c>
      <c r="E75" s="219" t="s">
        <v>17</v>
      </c>
      <c r="F75" s="219"/>
      <c r="G75" s="219"/>
    </row>
    <row r="76" spans="1:7" x14ac:dyDescent="0.3">
      <c r="A76" s="219" t="s">
        <v>80</v>
      </c>
      <c r="B76" s="219">
        <v>23754</v>
      </c>
      <c r="C76" s="219">
        <v>653169</v>
      </c>
      <c r="D76" s="221">
        <v>186717</v>
      </c>
      <c r="E76" s="219" t="s">
        <v>15</v>
      </c>
      <c r="F76" s="219"/>
      <c r="G76" s="219"/>
    </row>
    <row r="77" spans="1:7" x14ac:dyDescent="0.3">
      <c r="A77" s="219" t="s">
        <v>81</v>
      </c>
      <c r="B77" s="219">
        <v>30326</v>
      </c>
      <c r="C77" s="219">
        <v>191614</v>
      </c>
      <c r="D77" s="221">
        <v>34152</v>
      </c>
      <c r="E77" s="219" t="s">
        <v>8</v>
      </c>
      <c r="F77" s="219"/>
      <c r="G77" s="219"/>
    </row>
    <row r="78" spans="1:7" x14ac:dyDescent="0.3">
      <c r="A78" s="219" t="s">
        <v>82</v>
      </c>
      <c r="B78" s="219">
        <v>27024</v>
      </c>
      <c r="C78" s="219">
        <v>286250</v>
      </c>
      <c r="D78" s="221">
        <v>86753</v>
      </c>
      <c r="E78" s="219" t="s">
        <v>15</v>
      </c>
      <c r="F78" s="219"/>
      <c r="G78" s="219"/>
    </row>
    <row r="79" spans="1:7" x14ac:dyDescent="0.3">
      <c r="A79" s="219" t="s">
        <v>83</v>
      </c>
      <c r="B79" s="219">
        <v>31792</v>
      </c>
      <c r="C79" s="219">
        <v>491921</v>
      </c>
      <c r="D79" s="221">
        <v>126457</v>
      </c>
      <c r="E79" s="219" t="s">
        <v>8</v>
      </c>
      <c r="F79" s="219"/>
      <c r="G79" s="219"/>
    </row>
    <row r="80" spans="1:7" x14ac:dyDescent="0.3">
      <c r="A80" s="219" t="s">
        <v>84</v>
      </c>
      <c r="B80" s="219">
        <v>28106</v>
      </c>
      <c r="C80" s="219">
        <v>320820</v>
      </c>
      <c r="D80" s="221">
        <v>144881</v>
      </c>
      <c r="E80" s="219" t="s">
        <v>8</v>
      </c>
      <c r="F80" s="219"/>
      <c r="G80" s="219"/>
    </row>
    <row r="81" spans="1:7" x14ac:dyDescent="0.3">
      <c r="A81" s="219" t="s">
        <v>85</v>
      </c>
      <c r="B81" s="219">
        <v>31153</v>
      </c>
      <c r="C81" s="219">
        <v>389864</v>
      </c>
      <c r="D81" s="221">
        <v>163568</v>
      </c>
      <c r="E81" s="219" t="s">
        <v>13</v>
      </c>
      <c r="F81" s="219"/>
      <c r="G81" s="219"/>
    </row>
    <row r="82" spans="1:7" x14ac:dyDescent="0.3">
      <c r="A82" s="219" t="s">
        <v>86</v>
      </c>
      <c r="B82" s="219">
        <v>25559</v>
      </c>
      <c r="C82" s="219">
        <v>388677</v>
      </c>
      <c r="D82" s="221">
        <v>174507</v>
      </c>
      <c r="E82" s="219" t="s">
        <v>15</v>
      </c>
      <c r="F82" s="219"/>
      <c r="G82" s="219"/>
    </row>
    <row r="83" spans="1:7" x14ac:dyDescent="0.3">
      <c r="A83" s="219" t="s">
        <v>87</v>
      </c>
      <c r="B83" s="219">
        <v>20814</v>
      </c>
      <c r="C83" s="219">
        <v>551234</v>
      </c>
      <c r="D83" s="221">
        <v>104926</v>
      </c>
      <c r="E83" s="219" t="s">
        <v>15</v>
      </c>
      <c r="F83" s="219"/>
      <c r="G83" s="219"/>
    </row>
    <row r="84" spans="1:7" x14ac:dyDescent="0.3">
      <c r="A84" s="219" t="s">
        <v>88</v>
      </c>
      <c r="B84" s="219">
        <v>22733</v>
      </c>
      <c r="C84" s="219">
        <v>536448</v>
      </c>
      <c r="D84" s="221">
        <v>117361</v>
      </c>
      <c r="E84" s="219" t="s">
        <v>17</v>
      </c>
      <c r="F84" s="219"/>
      <c r="G84" s="219"/>
    </row>
    <row r="85" spans="1:7" x14ac:dyDescent="0.3">
      <c r="A85" s="219" t="s">
        <v>89</v>
      </c>
      <c r="B85" s="219">
        <v>30798</v>
      </c>
      <c r="C85" s="219">
        <v>296038</v>
      </c>
      <c r="D85" s="221">
        <v>97113</v>
      </c>
      <c r="E85" s="219" t="s">
        <v>17</v>
      </c>
      <c r="F85" s="219"/>
      <c r="G85" s="219"/>
    </row>
    <row r="86" spans="1:7" x14ac:dyDescent="0.3">
      <c r="A86" s="219" t="s">
        <v>90</v>
      </c>
      <c r="B86" s="219">
        <v>23789</v>
      </c>
      <c r="C86" s="219">
        <v>522567</v>
      </c>
      <c r="D86" s="221">
        <v>103013</v>
      </c>
      <c r="E86" s="219" t="s">
        <v>17</v>
      </c>
      <c r="F86" s="219"/>
      <c r="G86" s="219"/>
    </row>
    <row r="87" spans="1:7" x14ac:dyDescent="0.3">
      <c r="A87" s="219" t="s">
        <v>91</v>
      </c>
      <c r="B87" s="219">
        <v>25222</v>
      </c>
      <c r="C87" s="219">
        <v>361948</v>
      </c>
      <c r="D87" s="221">
        <v>52784</v>
      </c>
      <c r="E87" s="219" t="s">
        <v>13</v>
      </c>
      <c r="F87" s="219"/>
      <c r="G87" s="219"/>
    </row>
    <row r="88" spans="1:7" x14ac:dyDescent="0.3">
      <c r="A88" s="219" t="s">
        <v>92</v>
      </c>
      <c r="B88" s="219">
        <v>23041</v>
      </c>
      <c r="C88" s="219">
        <v>342396</v>
      </c>
      <c r="D88" s="221">
        <v>138585</v>
      </c>
      <c r="E88" s="219" t="s">
        <v>17</v>
      </c>
      <c r="F88" s="219"/>
      <c r="G88" s="219"/>
    </row>
    <row r="89" spans="1:7" x14ac:dyDescent="0.3">
      <c r="A89" s="219" t="s">
        <v>93</v>
      </c>
      <c r="B89" s="219">
        <v>28600</v>
      </c>
      <c r="C89" s="219">
        <v>551599</v>
      </c>
      <c r="D89" s="221">
        <v>157564</v>
      </c>
      <c r="E89" s="219" t="s">
        <v>15</v>
      </c>
      <c r="F89" s="219"/>
      <c r="G89" s="219"/>
    </row>
    <row r="90" spans="1:7" x14ac:dyDescent="0.3">
      <c r="A90" s="219" t="s">
        <v>94</v>
      </c>
      <c r="B90" s="219">
        <v>22837</v>
      </c>
      <c r="C90" s="219">
        <v>381769</v>
      </c>
      <c r="D90" s="221">
        <v>13951</v>
      </c>
      <c r="E90" s="219" t="s">
        <v>17</v>
      </c>
      <c r="F90" s="219"/>
      <c r="G90" s="219"/>
    </row>
    <row r="91" spans="1:7" x14ac:dyDescent="0.3">
      <c r="A91" s="219" t="s">
        <v>95</v>
      </c>
      <c r="B91" s="219">
        <v>20389</v>
      </c>
      <c r="C91" s="219">
        <v>514985</v>
      </c>
      <c r="D91" s="221">
        <v>156993</v>
      </c>
      <c r="E91" s="219" t="s">
        <v>10</v>
      </c>
      <c r="F91" s="219"/>
      <c r="G91" s="219"/>
    </row>
    <row r="92" spans="1:7" x14ac:dyDescent="0.3">
      <c r="A92" s="219" t="s">
        <v>96</v>
      </c>
      <c r="B92" s="219">
        <v>25578</v>
      </c>
      <c r="C92" s="219">
        <v>433043</v>
      </c>
      <c r="D92" s="221">
        <v>207309</v>
      </c>
      <c r="E92" s="219" t="s">
        <v>17</v>
      </c>
      <c r="F92" s="219"/>
      <c r="G92" s="219"/>
    </row>
    <row r="93" spans="1:7" x14ac:dyDescent="0.3">
      <c r="A93" s="219" t="s">
        <v>97</v>
      </c>
      <c r="B93" s="219">
        <v>30604</v>
      </c>
      <c r="C93" s="219">
        <v>666689</v>
      </c>
      <c r="D93" s="221">
        <v>211269</v>
      </c>
      <c r="E93" s="219" t="s">
        <v>8</v>
      </c>
      <c r="F93" s="219"/>
      <c r="G93" s="219"/>
    </row>
    <row r="94" spans="1:7" x14ac:dyDescent="0.3">
      <c r="A94" s="219" t="s">
        <v>98</v>
      </c>
      <c r="B94" s="219">
        <v>20806</v>
      </c>
      <c r="C94" s="219">
        <v>316385</v>
      </c>
      <c r="D94" s="221">
        <v>39276</v>
      </c>
      <c r="E94" s="219" t="s">
        <v>17</v>
      </c>
      <c r="F94" s="219"/>
      <c r="G94" s="219"/>
    </row>
    <row r="95" spans="1:7" x14ac:dyDescent="0.3">
      <c r="A95" s="219" t="s">
        <v>99</v>
      </c>
      <c r="B95" s="219">
        <v>22232</v>
      </c>
      <c r="C95" s="219">
        <v>407360</v>
      </c>
      <c r="D95" s="221">
        <v>89495</v>
      </c>
      <c r="E95" s="219" t="s">
        <v>17</v>
      </c>
      <c r="F95" s="219"/>
      <c r="G95" s="219"/>
    </row>
    <row r="96" spans="1:7" x14ac:dyDescent="0.3">
      <c r="A96" s="219" t="s">
        <v>100</v>
      </c>
      <c r="B96" s="219">
        <v>28888</v>
      </c>
      <c r="C96" s="219">
        <v>356948</v>
      </c>
      <c r="D96" s="221">
        <v>65047</v>
      </c>
      <c r="E96" s="219" t="s">
        <v>10</v>
      </c>
      <c r="F96" s="219"/>
      <c r="G96" s="219"/>
    </row>
    <row r="97" spans="1:7" x14ac:dyDescent="0.3">
      <c r="A97" s="219" t="s">
        <v>101</v>
      </c>
      <c r="B97" s="219">
        <v>24258</v>
      </c>
      <c r="C97" s="219">
        <v>184728</v>
      </c>
      <c r="D97" s="221">
        <v>44044</v>
      </c>
      <c r="E97" s="219" t="s">
        <v>15</v>
      </c>
      <c r="F97" s="219"/>
      <c r="G97" s="219"/>
    </row>
    <row r="98" spans="1:7" x14ac:dyDescent="0.3">
      <c r="A98" s="219" t="s">
        <v>102</v>
      </c>
      <c r="B98" s="219">
        <v>25340</v>
      </c>
      <c r="C98" s="219">
        <v>471544</v>
      </c>
      <c r="D98" s="221">
        <v>96218</v>
      </c>
      <c r="E98" s="219" t="s">
        <v>13</v>
      </c>
      <c r="F98" s="219"/>
      <c r="G98" s="219"/>
    </row>
    <row r="99" spans="1:7" x14ac:dyDescent="0.3">
      <c r="A99" s="219" t="s">
        <v>103</v>
      </c>
      <c r="B99" s="219">
        <v>32305</v>
      </c>
      <c r="C99" s="219">
        <v>254002</v>
      </c>
      <c r="D99" s="221">
        <v>83085</v>
      </c>
      <c r="E99" s="219" t="s">
        <v>8</v>
      </c>
      <c r="F99" s="219"/>
      <c r="G99" s="219"/>
    </row>
    <row r="100" spans="1:7" x14ac:dyDescent="0.3">
      <c r="A100" s="219" t="s">
        <v>104</v>
      </c>
      <c r="B100" s="219">
        <v>29313</v>
      </c>
      <c r="C100" s="219">
        <v>317752</v>
      </c>
      <c r="D100" s="221">
        <v>135317</v>
      </c>
      <c r="E100" s="219" t="s">
        <v>8</v>
      </c>
      <c r="F100" s="219"/>
      <c r="G100" s="219"/>
    </row>
    <row r="101" spans="1:7" x14ac:dyDescent="0.3">
      <c r="A101" s="219" t="s">
        <v>105</v>
      </c>
      <c r="B101" s="219">
        <v>26381</v>
      </c>
      <c r="C101" s="219">
        <v>392311</v>
      </c>
      <c r="D101" s="221">
        <v>54647</v>
      </c>
      <c r="E101" s="219" t="s">
        <v>15</v>
      </c>
      <c r="F101" s="219"/>
      <c r="G101" s="219"/>
    </row>
    <row r="102" spans="1:7" x14ac:dyDescent="0.3">
      <c r="A102" s="219" t="s">
        <v>106</v>
      </c>
      <c r="B102" s="219">
        <v>24538</v>
      </c>
      <c r="C102" s="219">
        <v>558129</v>
      </c>
      <c r="D102" s="221">
        <v>187485</v>
      </c>
      <c r="E102" s="219" t="s">
        <v>8</v>
      </c>
      <c r="F102" s="219"/>
      <c r="G102" s="219"/>
    </row>
    <row r="103" spans="1:7" x14ac:dyDescent="0.3">
      <c r="A103" s="219" t="s">
        <v>107</v>
      </c>
      <c r="B103" s="219">
        <v>28214</v>
      </c>
      <c r="C103" s="219">
        <v>273119</v>
      </c>
      <c r="D103" s="221">
        <v>124206</v>
      </c>
      <c r="E103" s="219" t="s">
        <v>8</v>
      </c>
      <c r="F103" s="219"/>
      <c r="G103" s="219"/>
    </row>
    <row r="104" spans="1:7" x14ac:dyDescent="0.3">
      <c r="A104" s="219" t="s">
        <v>108</v>
      </c>
      <c r="B104" s="219">
        <v>29116</v>
      </c>
      <c r="C104" s="219">
        <v>450768</v>
      </c>
      <c r="D104" s="221">
        <v>44886</v>
      </c>
      <c r="E104" s="219" t="s">
        <v>17</v>
      </c>
      <c r="F104" s="219"/>
      <c r="G104" s="219"/>
    </row>
    <row r="105" spans="1:7" x14ac:dyDescent="0.3">
      <c r="A105" s="219" t="s">
        <v>109</v>
      </c>
      <c r="B105" s="219">
        <v>23493</v>
      </c>
      <c r="C105" s="219">
        <v>519731</v>
      </c>
      <c r="D105" s="221">
        <v>175186</v>
      </c>
      <c r="E105" s="219" t="s">
        <v>8</v>
      </c>
      <c r="F105" s="219"/>
      <c r="G105" s="219"/>
    </row>
    <row r="106" spans="1:7" x14ac:dyDescent="0.3">
      <c r="A106" s="219" t="s">
        <v>110</v>
      </c>
      <c r="B106" s="219">
        <v>26357</v>
      </c>
      <c r="C106" s="219">
        <v>310130</v>
      </c>
      <c r="D106" s="221">
        <v>123502</v>
      </c>
      <c r="E106" s="219" t="s">
        <v>15</v>
      </c>
      <c r="F106" s="219"/>
      <c r="G106" s="219"/>
    </row>
    <row r="107" spans="1:7" x14ac:dyDescent="0.3">
      <c r="A107" s="220" t="s">
        <v>111</v>
      </c>
      <c r="B107" s="220">
        <v>32547</v>
      </c>
      <c r="C107" s="220">
        <v>270412</v>
      </c>
      <c r="D107" s="222">
        <v>62676</v>
      </c>
      <c r="E107" s="220" t="s">
        <v>10</v>
      </c>
      <c r="F107" s="220"/>
      <c r="G107" s="220"/>
    </row>
    <row r="108" spans="1:7" x14ac:dyDescent="0.3">
      <c r="A108"/>
      <c r="B108"/>
      <c r="C108"/>
      <c r="D108"/>
      <c r="E108"/>
      <c r="F108"/>
      <c r="G108"/>
    </row>
    <row r="109" spans="1:7" x14ac:dyDescent="0.3">
      <c r="A109"/>
      <c r="B109"/>
      <c r="C109"/>
      <c r="D109"/>
      <c r="E109"/>
      <c r="F109"/>
      <c r="G109"/>
    </row>
    <row r="110" spans="1:7" x14ac:dyDescent="0.3">
      <c r="A110"/>
      <c r="B110"/>
      <c r="C110"/>
      <c r="D110"/>
      <c r="E110"/>
      <c r="F110"/>
      <c r="G110"/>
    </row>
    <row r="111" spans="1:7" x14ac:dyDescent="0.3">
      <c r="A111"/>
      <c r="B111"/>
      <c r="C111"/>
      <c r="D111"/>
      <c r="E111"/>
      <c r="F111"/>
      <c r="G111"/>
    </row>
    <row r="112" spans="1:7" x14ac:dyDescent="0.3">
      <c r="A112"/>
      <c r="B112"/>
      <c r="C112"/>
      <c r="D112"/>
      <c r="E112"/>
      <c r="F112"/>
      <c r="G112"/>
    </row>
    <row r="113" spans="1:7" x14ac:dyDescent="0.3">
      <c r="A113"/>
      <c r="B113"/>
      <c r="C113"/>
      <c r="D113"/>
      <c r="E113"/>
      <c r="F113"/>
      <c r="G113"/>
    </row>
    <row r="114" spans="1:7" x14ac:dyDescent="0.3">
      <c r="A114"/>
      <c r="B114"/>
      <c r="C114"/>
      <c r="D114"/>
      <c r="E114"/>
      <c r="F114"/>
      <c r="G114"/>
    </row>
  </sheetData>
  <hyperlinks>
    <hyperlink ref="I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tabColor rgb="FFFFFF00"/>
  </sheetPr>
  <dimension ref="A1:Q106"/>
  <sheetViews>
    <sheetView topLeftCell="A25" workbookViewId="0">
      <selection activeCell="I1" sqref="I1"/>
    </sheetView>
  </sheetViews>
  <sheetFormatPr defaultColWidth="9.109375" defaultRowHeight="14.4" x14ac:dyDescent="0.3"/>
  <cols>
    <col min="1" max="1" width="15.6640625" style="2" customWidth="1"/>
    <col min="2" max="2" width="12.6640625" style="2" customWidth="1"/>
    <col min="3" max="3" width="16.109375" style="2" customWidth="1"/>
    <col min="4" max="4" width="12.6640625" style="2" customWidth="1"/>
    <col min="5" max="5" width="20.6640625" style="2" customWidth="1"/>
    <col min="6" max="8" width="15.6640625" style="2" customWidth="1"/>
    <col min="9" max="9" width="27" style="2" customWidth="1"/>
    <col min="10" max="17" width="15.6640625" style="2" customWidth="1"/>
    <col min="18" max="16384" width="9.109375" style="2"/>
  </cols>
  <sheetData>
    <row r="1" spans="1:17" x14ac:dyDescent="0.3">
      <c r="A1" s="176" t="s">
        <v>310</v>
      </c>
      <c r="I1" s="182" t="s">
        <v>1148</v>
      </c>
    </row>
    <row r="2" spans="1:17" x14ac:dyDescent="0.3">
      <c r="A2" s="2" t="s">
        <v>311</v>
      </c>
    </row>
    <row r="3" spans="1:17" x14ac:dyDescent="0.3">
      <c r="A3" s="2" t="s">
        <v>312</v>
      </c>
    </row>
    <row r="4" spans="1:17" x14ac:dyDescent="0.3">
      <c r="A4" s="2" t="s">
        <v>313</v>
      </c>
    </row>
    <row r="5" spans="1:17" ht="15" thickBot="1" x14ac:dyDescent="0.35"/>
    <row r="6" spans="1:17" ht="15" thickBot="1" x14ac:dyDescent="0.35">
      <c r="A6" s="208" t="s">
        <v>0</v>
      </c>
      <c r="B6" s="208" t="s">
        <v>1</v>
      </c>
      <c r="C6" s="208" t="s">
        <v>2</v>
      </c>
      <c r="D6" s="208" t="s">
        <v>3</v>
      </c>
      <c r="E6" s="208" t="s">
        <v>4</v>
      </c>
      <c r="F6" s="208" t="s">
        <v>5</v>
      </c>
      <c r="G6" s="209" t="s">
        <v>6</v>
      </c>
    </row>
    <row r="7" spans="1:17" x14ac:dyDescent="0.3">
      <c r="A7" s="210" t="s">
        <v>7</v>
      </c>
      <c r="B7" s="210">
        <v>23675</v>
      </c>
      <c r="C7" s="210">
        <v>1366605</v>
      </c>
      <c r="D7" s="210">
        <v>129935</v>
      </c>
      <c r="E7" s="210" t="s">
        <v>8</v>
      </c>
      <c r="F7" s="210"/>
      <c r="G7" s="211"/>
    </row>
    <row r="8" spans="1:17" x14ac:dyDescent="0.3">
      <c r="A8" s="212" t="s">
        <v>9</v>
      </c>
      <c r="B8" s="212">
        <v>31249</v>
      </c>
      <c r="C8" s="212">
        <v>569913</v>
      </c>
      <c r="D8" s="212">
        <v>186308</v>
      </c>
      <c r="E8" s="212" t="s">
        <v>10</v>
      </c>
      <c r="F8" s="212"/>
      <c r="G8" s="21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3">
      <c r="A9" s="214" t="s">
        <v>11</v>
      </c>
      <c r="B9" s="214">
        <v>30073</v>
      </c>
      <c r="C9" s="214">
        <v>343060</v>
      </c>
      <c r="D9" s="214">
        <v>111632</v>
      </c>
      <c r="E9" s="214" t="s">
        <v>10</v>
      </c>
      <c r="F9" s="214"/>
      <c r="G9" s="215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">
      <c r="A10" s="212" t="s">
        <v>12</v>
      </c>
      <c r="B10" s="212">
        <v>22707</v>
      </c>
      <c r="C10" s="212">
        <v>388158</v>
      </c>
      <c r="D10" s="212">
        <v>59190</v>
      </c>
      <c r="E10" s="212" t="s">
        <v>13</v>
      </c>
      <c r="F10" s="212"/>
      <c r="G10" s="213"/>
      <c r="H10" s="4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3">
      <c r="A11" s="214" t="s">
        <v>14</v>
      </c>
      <c r="B11" s="214">
        <v>23292</v>
      </c>
      <c r="C11" s="214">
        <v>381410</v>
      </c>
      <c r="D11" s="214">
        <v>68921</v>
      </c>
      <c r="E11" s="214" t="s">
        <v>15</v>
      </c>
      <c r="F11" s="214"/>
      <c r="G11" s="215"/>
      <c r="H11" s="3"/>
      <c r="I11" s="5"/>
      <c r="J11" s="3"/>
      <c r="K11" s="3"/>
      <c r="L11" s="3"/>
      <c r="M11" s="3"/>
      <c r="N11" s="3"/>
      <c r="O11" s="3"/>
      <c r="P11" s="3"/>
      <c r="Q11" s="3"/>
    </row>
    <row r="12" spans="1:17" x14ac:dyDescent="0.3">
      <c r="A12" s="212" t="s">
        <v>16</v>
      </c>
      <c r="B12" s="212">
        <v>33992</v>
      </c>
      <c r="C12" s="212">
        <v>443965</v>
      </c>
      <c r="D12" s="212">
        <v>114764</v>
      </c>
      <c r="E12" s="212" t="s">
        <v>17</v>
      </c>
      <c r="F12" s="212"/>
      <c r="G12" s="213"/>
      <c r="H12" s="3"/>
      <c r="I12" s="6"/>
      <c r="J12" s="3"/>
      <c r="K12" s="3"/>
      <c r="L12" s="3"/>
      <c r="M12" s="3"/>
      <c r="N12" s="3"/>
      <c r="O12" s="3"/>
      <c r="P12" s="3"/>
      <c r="Q12" s="3"/>
    </row>
    <row r="13" spans="1:17" x14ac:dyDescent="0.3">
      <c r="A13" s="214" t="s">
        <v>18</v>
      </c>
      <c r="B13" s="214">
        <v>27926</v>
      </c>
      <c r="C13" s="214">
        <v>402156</v>
      </c>
      <c r="D13" s="214">
        <v>66375</v>
      </c>
      <c r="E13" s="214" t="s">
        <v>13</v>
      </c>
      <c r="F13" s="214"/>
      <c r="G13" s="215"/>
      <c r="H13" s="3"/>
      <c r="I13" s="7"/>
      <c r="J13" s="3"/>
      <c r="K13" s="3"/>
      <c r="L13" s="3"/>
      <c r="M13" s="3"/>
      <c r="N13" s="3"/>
      <c r="O13" s="3"/>
      <c r="P13" s="3"/>
      <c r="Q13" s="3"/>
    </row>
    <row r="14" spans="1:17" x14ac:dyDescent="0.3">
      <c r="A14" s="212" t="s">
        <v>19</v>
      </c>
      <c r="B14" s="212">
        <v>27442</v>
      </c>
      <c r="C14" s="212">
        <v>326454</v>
      </c>
      <c r="D14" s="212">
        <v>74802</v>
      </c>
      <c r="E14" s="212" t="s">
        <v>13</v>
      </c>
      <c r="F14" s="212"/>
      <c r="G14" s="213"/>
      <c r="H14" s="3"/>
      <c r="I14" s="8"/>
      <c r="J14" s="3"/>
      <c r="K14" s="3"/>
      <c r="L14" s="3"/>
      <c r="M14" s="3"/>
      <c r="N14" s="3"/>
      <c r="O14" s="3"/>
      <c r="P14" s="3"/>
      <c r="Q14" s="3"/>
    </row>
    <row r="15" spans="1:17" x14ac:dyDescent="0.3">
      <c r="A15" s="214" t="s">
        <v>20</v>
      </c>
      <c r="B15" s="214">
        <v>29563</v>
      </c>
      <c r="C15" s="214">
        <v>333631</v>
      </c>
      <c r="D15" s="214">
        <v>155749</v>
      </c>
      <c r="E15" s="214" t="s">
        <v>10</v>
      </c>
      <c r="F15" s="214"/>
      <c r="G15" s="215"/>
      <c r="H15" s="3"/>
      <c r="I15" s="9"/>
      <c r="J15" s="3"/>
      <c r="K15" s="3"/>
      <c r="L15" s="3"/>
      <c r="M15" s="3"/>
      <c r="N15" s="3"/>
      <c r="O15" s="3"/>
      <c r="P15" s="3"/>
      <c r="Q15" s="3"/>
    </row>
    <row r="16" spans="1:17" x14ac:dyDescent="0.3">
      <c r="A16" s="212" t="s">
        <v>21</v>
      </c>
      <c r="B16" s="212">
        <v>33009</v>
      </c>
      <c r="C16" s="212">
        <v>374691</v>
      </c>
      <c r="D16" s="212">
        <v>90654</v>
      </c>
      <c r="E16" s="212" t="s">
        <v>10</v>
      </c>
      <c r="F16" s="212"/>
      <c r="G16" s="213"/>
      <c r="H16" s="3"/>
      <c r="I16" s="10"/>
      <c r="J16" s="3"/>
      <c r="K16" s="3"/>
      <c r="L16" s="3"/>
      <c r="M16" s="3"/>
      <c r="N16" s="3"/>
      <c r="O16" s="3"/>
      <c r="P16" s="3"/>
      <c r="Q16" s="3"/>
    </row>
    <row r="17" spans="1:17" x14ac:dyDescent="0.3">
      <c r="A17" s="214" t="s">
        <v>22</v>
      </c>
      <c r="B17" s="214">
        <v>31468</v>
      </c>
      <c r="C17" s="214">
        <v>278110</v>
      </c>
      <c r="D17" s="214">
        <v>85329</v>
      </c>
      <c r="E17" s="214" t="s">
        <v>17</v>
      </c>
      <c r="F17" s="214"/>
      <c r="G17" s="215"/>
      <c r="H17" s="3"/>
      <c r="I17" s="11"/>
      <c r="J17" s="3"/>
      <c r="K17" s="3"/>
      <c r="L17" s="3"/>
      <c r="M17" s="3"/>
      <c r="N17" s="3"/>
      <c r="O17" s="3"/>
      <c r="P17" s="3"/>
      <c r="Q17" s="3"/>
    </row>
    <row r="18" spans="1:17" x14ac:dyDescent="0.3">
      <c r="A18" s="212" t="s">
        <v>23</v>
      </c>
      <c r="B18" s="212">
        <v>34068</v>
      </c>
      <c r="C18" s="212">
        <v>442974</v>
      </c>
      <c r="D18" s="212">
        <v>25668</v>
      </c>
      <c r="E18" s="212" t="s">
        <v>17</v>
      </c>
      <c r="F18" s="212"/>
      <c r="G18" s="213"/>
      <c r="H18" s="3"/>
      <c r="I18" s="12"/>
      <c r="J18" s="3"/>
      <c r="K18" s="3"/>
      <c r="L18" s="3"/>
      <c r="M18" s="3"/>
      <c r="N18" s="3"/>
      <c r="O18" s="3"/>
      <c r="P18" s="3"/>
      <c r="Q18" s="3"/>
    </row>
    <row r="19" spans="1:17" x14ac:dyDescent="0.3">
      <c r="A19" s="214" t="s">
        <v>24</v>
      </c>
      <c r="B19" s="214">
        <v>27237</v>
      </c>
      <c r="C19" s="214">
        <v>518932</v>
      </c>
      <c r="D19" s="214">
        <v>53512</v>
      </c>
      <c r="E19" s="214" t="s">
        <v>15</v>
      </c>
      <c r="F19" s="214"/>
      <c r="G19" s="215"/>
      <c r="H19" s="3"/>
      <c r="I19" s="13"/>
      <c r="J19" s="3"/>
      <c r="K19" s="3"/>
      <c r="L19" s="3"/>
      <c r="M19" s="3"/>
      <c r="N19" s="3"/>
      <c r="O19" s="3"/>
      <c r="P19" s="3"/>
      <c r="Q19" s="3"/>
    </row>
    <row r="20" spans="1:17" x14ac:dyDescent="0.3">
      <c r="A20" s="212" t="s">
        <v>25</v>
      </c>
      <c r="B20" s="212">
        <v>28961</v>
      </c>
      <c r="C20" s="212">
        <v>436695</v>
      </c>
      <c r="D20" s="212">
        <v>33786</v>
      </c>
      <c r="E20" s="212" t="s">
        <v>8</v>
      </c>
      <c r="F20" s="212"/>
      <c r="G20" s="213"/>
      <c r="H20" s="3"/>
      <c r="I20" s="14"/>
      <c r="J20" s="3"/>
      <c r="K20" s="3"/>
      <c r="L20" s="3"/>
      <c r="M20" s="3"/>
      <c r="N20" s="3"/>
      <c r="O20" s="3"/>
      <c r="P20" s="3"/>
      <c r="Q20" s="3"/>
    </row>
    <row r="21" spans="1:17" x14ac:dyDescent="0.3">
      <c r="A21" s="214" t="s">
        <v>26</v>
      </c>
      <c r="B21" s="214">
        <v>20713</v>
      </c>
      <c r="C21" s="214">
        <v>311878</v>
      </c>
      <c r="D21" s="214">
        <v>50629</v>
      </c>
      <c r="E21" s="214" t="s">
        <v>15</v>
      </c>
      <c r="F21" s="214"/>
      <c r="G21" s="215"/>
      <c r="H21" s="3"/>
      <c r="I21" s="15"/>
      <c r="J21" s="3"/>
      <c r="K21" s="3"/>
      <c r="L21" s="3"/>
      <c r="M21" s="3"/>
      <c r="N21" s="3"/>
      <c r="O21" s="3"/>
      <c r="P21" s="3"/>
      <c r="Q21" s="3"/>
    </row>
    <row r="22" spans="1:17" x14ac:dyDescent="0.3">
      <c r="A22" s="212" t="s">
        <v>27</v>
      </c>
      <c r="B22" s="212">
        <v>34536</v>
      </c>
      <c r="C22" s="212">
        <v>449470</v>
      </c>
      <c r="D22" s="212">
        <v>52235</v>
      </c>
      <c r="E22" s="212" t="s">
        <v>15</v>
      </c>
      <c r="F22" s="212"/>
      <c r="G22" s="213"/>
      <c r="H22" s="3"/>
      <c r="I22" s="16"/>
      <c r="J22" s="3"/>
      <c r="K22" s="3"/>
      <c r="L22" s="3"/>
      <c r="M22" s="3"/>
      <c r="N22" s="3"/>
      <c r="O22" s="3"/>
      <c r="P22" s="3"/>
      <c r="Q22" s="3"/>
    </row>
    <row r="23" spans="1:17" x14ac:dyDescent="0.3">
      <c r="A23" s="214" t="s">
        <v>28</v>
      </c>
      <c r="B23" s="214">
        <v>32473</v>
      </c>
      <c r="C23" s="214">
        <v>479423</v>
      </c>
      <c r="D23" s="214">
        <v>166224</v>
      </c>
      <c r="E23" s="214" t="s">
        <v>15</v>
      </c>
      <c r="F23" s="214"/>
      <c r="G23" s="215"/>
      <c r="H23" s="3"/>
      <c r="I23" s="17"/>
      <c r="J23" s="3"/>
      <c r="K23" s="3"/>
      <c r="L23" s="3"/>
      <c r="M23" s="3"/>
      <c r="N23" s="3"/>
      <c r="O23" s="3"/>
      <c r="P23" s="3"/>
      <c r="Q23" s="3"/>
    </row>
    <row r="24" spans="1:17" x14ac:dyDescent="0.3">
      <c r="A24" s="212" t="s">
        <v>29</v>
      </c>
      <c r="B24" s="212">
        <v>22201</v>
      </c>
      <c r="C24" s="212">
        <v>342386</v>
      </c>
      <c r="D24" s="212">
        <v>144909</v>
      </c>
      <c r="E24" s="212" t="s">
        <v>17</v>
      </c>
      <c r="F24" s="212"/>
      <c r="G24" s="21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3">
      <c r="A25" s="214" t="s">
        <v>30</v>
      </c>
      <c r="B25" s="214">
        <v>20820</v>
      </c>
      <c r="C25" s="214">
        <v>587995</v>
      </c>
      <c r="D25" s="214">
        <v>96094</v>
      </c>
      <c r="E25" s="214" t="s">
        <v>10</v>
      </c>
      <c r="F25" s="214"/>
      <c r="G25" s="215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3">
      <c r="A26" s="212" t="s">
        <v>31</v>
      </c>
      <c r="B26" s="212">
        <v>20374</v>
      </c>
      <c r="C26" s="212">
        <v>689017</v>
      </c>
      <c r="D26" s="212">
        <v>212428</v>
      </c>
      <c r="E26" s="212" t="s">
        <v>10</v>
      </c>
      <c r="F26" s="212"/>
      <c r="G26" s="21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3">
      <c r="A27" s="214" t="s">
        <v>32</v>
      </c>
      <c r="B27" s="214">
        <v>26900</v>
      </c>
      <c r="C27" s="214">
        <v>380780</v>
      </c>
      <c r="D27" s="214">
        <v>66245</v>
      </c>
      <c r="E27" s="214" t="s">
        <v>8</v>
      </c>
      <c r="F27" s="214"/>
      <c r="G27" s="215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3">
      <c r="A28" s="212" t="s">
        <v>33</v>
      </c>
      <c r="B28" s="212">
        <v>34075</v>
      </c>
      <c r="C28" s="212">
        <v>347609</v>
      </c>
      <c r="D28" s="212">
        <v>90642</v>
      </c>
      <c r="E28" s="212" t="s">
        <v>17</v>
      </c>
      <c r="F28" s="212"/>
      <c r="G28" s="21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3">
      <c r="A29" s="214" t="s">
        <v>34</v>
      </c>
      <c r="B29" s="214">
        <v>25378</v>
      </c>
      <c r="C29" s="214">
        <v>426640</v>
      </c>
      <c r="D29" s="214">
        <v>160538</v>
      </c>
      <c r="E29" s="214" t="s">
        <v>17</v>
      </c>
      <c r="F29" s="214"/>
      <c r="G29" s="215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3">
      <c r="A30" s="212" t="s">
        <v>35</v>
      </c>
      <c r="B30" s="212">
        <v>25890</v>
      </c>
      <c r="C30" s="212">
        <v>541834</v>
      </c>
      <c r="D30" s="212">
        <v>42419</v>
      </c>
      <c r="E30" s="212" t="s">
        <v>8</v>
      </c>
      <c r="F30" s="212"/>
      <c r="G30" s="21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3">
      <c r="A31" s="214" t="s">
        <v>36</v>
      </c>
      <c r="B31" s="214">
        <v>31635</v>
      </c>
      <c r="C31" s="214">
        <v>343189</v>
      </c>
      <c r="D31" s="214">
        <v>134070</v>
      </c>
      <c r="E31" s="214" t="s">
        <v>15</v>
      </c>
      <c r="F31" s="214"/>
      <c r="G31" s="215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3">
      <c r="A32" s="212" t="s">
        <v>37</v>
      </c>
      <c r="B32" s="212">
        <v>33881</v>
      </c>
      <c r="C32" s="212">
        <v>262016</v>
      </c>
      <c r="D32" s="212">
        <v>33930</v>
      </c>
      <c r="E32" s="212" t="s">
        <v>10</v>
      </c>
      <c r="F32" s="212"/>
      <c r="G32" s="21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7" x14ac:dyDescent="0.3">
      <c r="A33" s="214" t="s">
        <v>38</v>
      </c>
      <c r="B33" s="214">
        <v>25529</v>
      </c>
      <c r="C33" s="214">
        <v>297970</v>
      </c>
      <c r="D33" s="214">
        <v>130493</v>
      </c>
      <c r="E33" s="214" t="s">
        <v>17</v>
      </c>
      <c r="F33" s="214"/>
      <c r="G33" s="215"/>
    </row>
    <row r="34" spans="1:7" x14ac:dyDescent="0.3">
      <c r="A34" s="212" t="s">
        <v>39</v>
      </c>
      <c r="B34" s="212">
        <v>21327</v>
      </c>
      <c r="C34" s="212">
        <v>539732</v>
      </c>
      <c r="D34" s="212">
        <v>106500</v>
      </c>
      <c r="E34" s="212" t="s">
        <v>15</v>
      </c>
      <c r="F34" s="212"/>
      <c r="G34" s="213"/>
    </row>
    <row r="35" spans="1:7" x14ac:dyDescent="0.3">
      <c r="A35" s="214" t="s">
        <v>40</v>
      </c>
      <c r="B35" s="214">
        <v>21509</v>
      </c>
      <c r="C35" s="214">
        <v>318624</v>
      </c>
      <c r="D35" s="214">
        <v>82665</v>
      </c>
      <c r="E35" s="214" t="s">
        <v>17</v>
      </c>
      <c r="F35" s="214"/>
      <c r="G35" s="215"/>
    </row>
    <row r="36" spans="1:7" x14ac:dyDescent="0.3">
      <c r="A36" s="212" t="s">
        <v>41</v>
      </c>
      <c r="B36" s="212">
        <v>31599</v>
      </c>
      <c r="C36" s="212">
        <v>486450</v>
      </c>
      <c r="D36" s="212">
        <v>27506</v>
      </c>
      <c r="E36" s="212" t="s">
        <v>13</v>
      </c>
      <c r="F36" s="212"/>
      <c r="G36" s="213"/>
    </row>
    <row r="37" spans="1:7" x14ac:dyDescent="0.3">
      <c r="A37" s="214" t="s">
        <v>42</v>
      </c>
      <c r="B37" s="214">
        <v>34271</v>
      </c>
      <c r="C37" s="214">
        <v>315602</v>
      </c>
      <c r="D37" s="214">
        <v>130199</v>
      </c>
      <c r="E37" s="214" t="s">
        <v>17</v>
      </c>
      <c r="F37" s="214"/>
      <c r="G37" s="215"/>
    </row>
    <row r="38" spans="1:7" x14ac:dyDescent="0.3">
      <c r="A38" s="212" t="s">
        <v>43</v>
      </c>
      <c r="B38" s="212">
        <v>20909</v>
      </c>
      <c r="C38" s="212">
        <v>278381</v>
      </c>
      <c r="D38" s="212">
        <v>123786</v>
      </c>
      <c r="E38" s="212" t="s">
        <v>17</v>
      </c>
      <c r="F38" s="212"/>
      <c r="G38" s="213"/>
    </row>
    <row r="39" spans="1:7" x14ac:dyDescent="0.3">
      <c r="A39" s="214" t="s">
        <v>44</v>
      </c>
      <c r="B39" s="214">
        <v>22427</v>
      </c>
      <c r="C39" s="214">
        <v>303276</v>
      </c>
      <c r="D39" s="214">
        <v>86499</v>
      </c>
      <c r="E39" s="214" t="s">
        <v>8</v>
      </c>
      <c r="F39" s="214"/>
      <c r="G39" s="215"/>
    </row>
    <row r="40" spans="1:7" x14ac:dyDescent="0.3">
      <c r="A40" s="212" t="s">
        <v>45</v>
      </c>
      <c r="B40" s="212">
        <v>33727</v>
      </c>
      <c r="C40" s="212">
        <v>512991</v>
      </c>
      <c r="D40" s="212">
        <v>114762</v>
      </c>
      <c r="E40" s="212" t="s">
        <v>17</v>
      </c>
      <c r="F40" s="212"/>
      <c r="G40" s="213"/>
    </row>
    <row r="41" spans="1:7" x14ac:dyDescent="0.3">
      <c r="A41" s="214" t="s">
        <v>46</v>
      </c>
      <c r="B41" s="214">
        <v>24445</v>
      </c>
      <c r="C41" s="214">
        <v>339942</v>
      </c>
      <c r="D41" s="214">
        <v>88310</v>
      </c>
      <c r="E41" s="214" t="s">
        <v>8</v>
      </c>
      <c r="F41" s="214"/>
      <c r="G41" s="215"/>
    </row>
    <row r="42" spans="1:7" x14ac:dyDescent="0.3">
      <c r="A42" s="212" t="s">
        <v>47</v>
      </c>
      <c r="B42" s="212">
        <v>20455</v>
      </c>
      <c r="C42" s="212">
        <v>474324</v>
      </c>
      <c r="D42" s="212">
        <v>100029</v>
      </c>
      <c r="E42" s="212" t="s">
        <v>8</v>
      </c>
      <c r="F42" s="212"/>
      <c r="G42" s="213"/>
    </row>
    <row r="43" spans="1:7" x14ac:dyDescent="0.3">
      <c r="A43" s="214" t="s">
        <v>48</v>
      </c>
      <c r="B43" s="214">
        <v>23157</v>
      </c>
      <c r="C43" s="214">
        <v>433871</v>
      </c>
      <c r="D43" s="214">
        <v>163810</v>
      </c>
      <c r="E43" s="214" t="s">
        <v>17</v>
      </c>
      <c r="F43" s="214"/>
      <c r="G43" s="215"/>
    </row>
    <row r="44" spans="1:7" x14ac:dyDescent="0.3">
      <c r="A44" s="212" t="s">
        <v>49</v>
      </c>
      <c r="B44" s="212">
        <v>27457</v>
      </c>
      <c r="C44" s="212">
        <v>344424</v>
      </c>
      <c r="D44" s="212">
        <v>168676</v>
      </c>
      <c r="E44" s="212" t="s">
        <v>8</v>
      </c>
      <c r="F44" s="212"/>
      <c r="G44" s="213"/>
    </row>
    <row r="45" spans="1:7" x14ac:dyDescent="0.3">
      <c r="A45" s="214" t="s">
        <v>50</v>
      </c>
      <c r="B45" s="214">
        <v>29179</v>
      </c>
      <c r="C45" s="214">
        <v>637576</v>
      </c>
      <c r="D45" s="214">
        <v>166533</v>
      </c>
      <c r="E45" s="214" t="s">
        <v>15</v>
      </c>
      <c r="F45" s="214"/>
      <c r="G45" s="215"/>
    </row>
    <row r="46" spans="1:7" x14ac:dyDescent="0.3">
      <c r="A46" s="212" t="s">
        <v>51</v>
      </c>
      <c r="B46" s="212">
        <v>33108</v>
      </c>
      <c r="C46" s="212">
        <v>410362</v>
      </c>
      <c r="D46" s="212">
        <v>189986</v>
      </c>
      <c r="E46" s="212" t="s">
        <v>8</v>
      </c>
      <c r="F46" s="212"/>
      <c r="G46" s="213"/>
    </row>
    <row r="47" spans="1:7" x14ac:dyDescent="0.3">
      <c r="A47" s="214" t="s">
        <v>52</v>
      </c>
      <c r="B47" s="214">
        <v>22412</v>
      </c>
      <c r="C47" s="214">
        <v>194961</v>
      </c>
      <c r="D47" s="214">
        <v>36323</v>
      </c>
      <c r="E47" s="214" t="s">
        <v>8</v>
      </c>
      <c r="F47" s="214"/>
      <c r="G47" s="215"/>
    </row>
    <row r="48" spans="1:7" x14ac:dyDescent="0.3">
      <c r="A48" s="212" t="s">
        <v>53</v>
      </c>
      <c r="B48" s="212">
        <v>32707</v>
      </c>
      <c r="C48" s="212">
        <v>385452</v>
      </c>
      <c r="D48" s="212">
        <v>121933</v>
      </c>
      <c r="E48" s="212" t="s">
        <v>15</v>
      </c>
      <c r="F48" s="212"/>
      <c r="G48" s="213"/>
    </row>
    <row r="49" spans="1:7" x14ac:dyDescent="0.3">
      <c r="A49" s="214" t="s">
        <v>54</v>
      </c>
      <c r="B49" s="214">
        <v>28762</v>
      </c>
      <c r="C49" s="214">
        <v>480960</v>
      </c>
      <c r="D49" s="214">
        <v>185816</v>
      </c>
      <c r="E49" s="214" t="s">
        <v>13</v>
      </c>
      <c r="F49" s="214"/>
      <c r="G49" s="215"/>
    </row>
    <row r="50" spans="1:7" x14ac:dyDescent="0.3">
      <c r="A50" s="212" t="s">
        <v>55</v>
      </c>
      <c r="B50" s="212">
        <v>31277</v>
      </c>
      <c r="C50" s="212">
        <v>347255</v>
      </c>
      <c r="D50" s="212">
        <v>117734</v>
      </c>
      <c r="E50" s="212" t="s">
        <v>17</v>
      </c>
      <c r="F50" s="212"/>
      <c r="G50" s="213"/>
    </row>
    <row r="51" spans="1:7" x14ac:dyDescent="0.3">
      <c r="A51" s="214" t="s">
        <v>56</v>
      </c>
      <c r="B51" s="214">
        <v>31846</v>
      </c>
      <c r="C51" s="214">
        <v>521081</v>
      </c>
      <c r="D51" s="214">
        <v>142055</v>
      </c>
      <c r="E51" s="214" t="s">
        <v>10</v>
      </c>
      <c r="F51" s="214"/>
      <c r="G51" s="215"/>
    </row>
    <row r="52" spans="1:7" x14ac:dyDescent="0.3">
      <c r="A52" s="212" t="s">
        <v>57</v>
      </c>
      <c r="B52" s="212">
        <v>33287</v>
      </c>
      <c r="C52" s="212">
        <v>492750</v>
      </c>
      <c r="D52" s="212">
        <v>90073</v>
      </c>
      <c r="E52" s="212" t="s">
        <v>15</v>
      </c>
      <c r="F52" s="212"/>
      <c r="G52" s="213"/>
    </row>
    <row r="53" spans="1:7" x14ac:dyDescent="0.3">
      <c r="A53" s="214" t="s">
        <v>58</v>
      </c>
      <c r="B53" s="214">
        <v>34087</v>
      </c>
      <c r="C53" s="214">
        <v>290314</v>
      </c>
      <c r="D53" s="214">
        <v>136491</v>
      </c>
      <c r="E53" s="214" t="s">
        <v>10</v>
      </c>
      <c r="F53" s="214"/>
      <c r="G53" s="215"/>
    </row>
    <row r="54" spans="1:7" x14ac:dyDescent="0.3">
      <c r="A54" s="212" t="s">
        <v>59</v>
      </c>
      <c r="B54" s="212">
        <v>32568</v>
      </c>
      <c r="C54" s="212">
        <v>615932</v>
      </c>
      <c r="D54" s="212">
        <v>178911</v>
      </c>
      <c r="E54" s="212" t="s">
        <v>17</v>
      </c>
      <c r="F54" s="212"/>
      <c r="G54" s="213"/>
    </row>
    <row r="55" spans="1:7" x14ac:dyDescent="0.3">
      <c r="A55" s="214" t="s">
        <v>60</v>
      </c>
      <c r="B55" s="214">
        <v>26912</v>
      </c>
      <c r="C55" s="214">
        <v>395489</v>
      </c>
      <c r="D55" s="214">
        <v>149428</v>
      </c>
      <c r="E55" s="214" t="s">
        <v>15</v>
      </c>
      <c r="F55" s="214"/>
      <c r="G55" s="215"/>
    </row>
    <row r="56" spans="1:7" x14ac:dyDescent="0.3">
      <c r="A56" s="212" t="s">
        <v>61</v>
      </c>
      <c r="B56" s="212">
        <v>26023</v>
      </c>
      <c r="C56" s="212">
        <v>385800</v>
      </c>
      <c r="D56" s="212">
        <v>130701</v>
      </c>
      <c r="E56" s="212" t="s">
        <v>17</v>
      </c>
      <c r="F56" s="212"/>
      <c r="G56" s="213"/>
    </row>
    <row r="57" spans="1:7" x14ac:dyDescent="0.3">
      <c r="A57" s="214" t="s">
        <v>62</v>
      </c>
      <c r="B57" s="214">
        <v>26553</v>
      </c>
      <c r="C57" s="214">
        <v>306853</v>
      </c>
      <c r="D57" s="214">
        <v>96387</v>
      </c>
      <c r="E57" s="214" t="s">
        <v>8</v>
      </c>
      <c r="F57" s="214"/>
      <c r="G57" s="215"/>
    </row>
    <row r="58" spans="1:7" x14ac:dyDescent="0.3">
      <c r="A58" s="212" t="s">
        <v>63</v>
      </c>
      <c r="B58" s="212">
        <v>23666</v>
      </c>
      <c r="C58" s="212">
        <v>490570</v>
      </c>
      <c r="D58" s="212">
        <v>49986</v>
      </c>
      <c r="E58" s="212" t="s">
        <v>17</v>
      </c>
      <c r="F58" s="212"/>
      <c r="G58" s="213"/>
    </row>
    <row r="59" spans="1:7" x14ac:dyDescent="0.3">
      <c r="A59" s="214" t="s">
        <v>64</v>
      </c>
      <c r="B59" s="214">
        <v>23919</v>
      </c>
      <c r="C59" s="214">
        <v>410913</v>
      </c>
      <c r="D59" s="214">
        <v>139842</v>
      </c>
      <c r="E59" s="214" t="s">
        <v>15</v>
      </c>
      <c r="F59" s="214"/>
      <c r="G59" s="215"/>
    </row>
    <row r="60" spans="1:7" x14ac:dyDescent="0.3">
      <c r="A60" s="212" t="s">
        <v>65</v>
      </c>
      <c r="B60" s="212">
        <v>33553</v>
      </c>
      <c r="C60" s="212">
        <v>410571</v>
      </c>
      <c r="D60" s="212">
        <v>99442</v>
      </c>
      <c r="E60" s="212" t="s">
        <v>10</v>
      </c>
      <c r="F60" s="212"/>
      <c r="G60" s="213"/>
    </row>
    <row r="61" spans="1:7" x14ac:dyDescent="0.3">
      <c r="A61" s="214" t="s">
        <v>66</v>
      </c>
      <c r="B61" s="214">
        <v>22429</v>
      </c>
      <c r="C61" s="214">
        <v>290915</v>
      </c>
      <c r="D61" s="214">
        <v>3925</v>
      </c>
      <c r="E61" s="214" t="s">
        <v>8</v>
      </c>
      <c r="F61" s="214"/>
      <c r="G61" s="215"/>
    </row>
    <row r="62" spans="1:7" x14ac:dyDescent="0.3">
      <c r="A62" s="212" t="s">
        <v>67</v>
      </c>
      <c r="B62" s="212">
        <v>23039</v>
      </c>
      <c r="C62" s="212">
        <v>445544</v>
      </c>
      <c r="D62" s="212">
        <v>183086</v>
      </c>
      <c r="E62" s="212" t="s">
        <v>15</v>
      </c>
      <c r="F62" s="212"/>
      <c r="G62" s="213"/>
    </row>
    <row r="63" spans="1:7" x14ac:dyDescent="0.3">
      <c r="A63" s="214" t="s">
        <v>68</v>
      </c>
      <c r="B63" s="214">
        <v>22919</v>
      </c>
      <c r="C63" s="214">
        <v>601960</v>
      </c>
      <c r="D63" s="214">
        <v>143859</v>
      </c>
      <c r="E63" s="214" t="s">
        <v>15</v>
      </c>
      <c r="F63" s="214"/>
      <c r="G63" s="215"/>
    </row>
    <row r="64" spans="1:7" x14ac:dyDescent="0.3">
      <c r="A64" s="212" t="s">
        <v>69</v>
      </c>
      <c r="B64" s="212">
        <v>25313</v>
      </c>
      <c r="C64" s="212">
        <v>376333</v>
      </c>
      <c r="D64" s="212">
        <v>176375</v>
      </c>
      <c r="E64" s="212" t="s">
        <v>10</v>
      </c>
      <c r="F64" s="212"/>
      <c r="G64" s="213"/>
    </row>
    <row r="65" spans="1:7" x14ac:dyDescent="0.3">
      <c r="A65" s="214" t="s">
        <v>70</v>
      </c>
      <c r="B65" s="214">
        <v>21876</v>
      </c>
      <c r="C65" s="214">
        <v>497940</v>
      </c>
      <c r="D65" s="214">
        <v>119848</v>
      </c>
      <c r="E65" s="214" t="s">
        <v>10</v>
      </c>
      <c r="F65" s="214"/>
      <c r="G65" s="215"/>
    </row>
    <row r="66" spans="1:7" x14ac:dyDescent="0.3">
      <c r="A66" s="212" t="s">
        <v>71</v>
      </c>
      <c r="B66" s="212">
        <v>27394</v>
      </c>
      <c r="C66" s="212">
        <v>303812</v>
      </c>
      <c r="D66" s="212">
        <v>109341</v>
      </c>
      <c r="E66" s="212" t="s">
        <v>10</v>
      </c>
      <c r="F66" s="212"/>
      <c r="G66" s="213"/>
    </row>
    <row r="67" spans="1:7" x14ac:dyDescent="0.3">
      <c r="A67" s="214" t="s">
        <v>72</v>
      </c>
      <c r="B67" s="214">
        <v>25748</v>
      </c>
      <c r="C67" s="214">
        <v>309283</v>
      </c>
      <c r="D67" s="214">
        <v>143540</v>
      </c>
      <c r="E67" s="214" t="s">
        <v>17</v>
      </c>
      <c r="F67" s="214"/>
      <c r="G67" s="215"/>
    </row>
    <row r="68" spans="1:7" x14ac:dyDescent="0.3">
      <c r="A68" s="212" t="s">
        <v>73</v>
      </c>
      <c r="B68" s="212">
        <v>20289</v>
      </c>
      <c r="C68" s="212">
        <v>256903</v>
      </c>
      <c r="D68" s="212">
        <v>49167</v>
      </c>
      <c r="E68" s="212" t="s">
        <v>10</v>
      </c>
      <c r="F68" s="212"/>
      <c r="G68" s="213"/>
    </row>
    <row r="69" spans="1:7" x14ac:dyDescent="0.3">
      <c r="A69" s="214" t="s">
        <v>74</v>
      </c>
      <c r="B69" s="214">
        <v>33721</v>
      </c>
      <c r="C69" s="214">
        <v>420810</v>
      </c>
      <c r="D69" s="214">
        <v>77783</v>
      </c>
      <c r="E69" s="214" t="s">
        <v>17</v>
      </c>
      <c r="F69" s="214"/>
      <c r="G69" s="215"/>
    </row>
    <row r="70" spans="1:7" x14ac:dyDescent="0.3">
      <c r="A70" s="212" t="s">
        <v>75</v>
      </c>
      <c r="B70" s="212">
        <v>27946</v>
      </c>
      <c r="C70" s="212">
        <v>385035</v>
      </c>
      <c r="D70" s="212">
        <v>151340</v>
      </c>
      <c r="E70" s="212" t="s">
        <v>17</v>
      </c>
      <c r="F70" s="212"/>
      <c r="G70" s="213"/>
    </row>
    <row r="71" spans="1:7" x14ac:dyDescent="0.3">
      <c r="A71" s="214" t="s">
        <v>76</v>
      </c>
      <c r="B71" s="214">
        <v>28818</v>
      </c>
      <c r="C71" s="214">
        <v>381041</v>
      </c>
      <c r="D71" s="214">
        <v>115575</v>
      </c>
      <c r="E71" s="214" t="s">
        <v>15</v>
      </c>
      <c r="F71" s="214"/>
      <c r="G71" s="215"/>
    </row>
    <row r="72" spans="1:7" x14ac:dyDescent="0.3">
      <c r="A72" s="212" t="s">
        <v>77</v>
      </c>
      <c r="B72" s="212">
        <v>29207</v>
      </c>
      <c r="C72" s="212">
        <v>284820</v>
      </c>
      <c r="D72" s="212">
        <v>112311</v>
      </c>
      <c r="E72" s="212" t="s">
        <v>15</v>
      </c>
      <c r="F72" s="212"/>
      <c r="G72" s="213"/>
    </row>
    <row r="73" spans="1:7" x14ac:dyDescent="0.3">
      <c r="A73" s="214" t="s">
        <v>78</v>
      </c>
      <c r="B73" s="214">
        <v>27535</v>
      </c>
      <c r="C73" s="214">
        <v>628593</v>
      </c>
      <c r="D73" s="214">
        <v>162468</v>
      </c>
      <c r="E73" s="214" t="s">
        <v>15</v>
      </c>
      <c r="F73" s="214"/>
      <c r="G73" s="215"/>
    </row>
    <row r="74" spans="1:7" x14ac:dyDescent="0.3">
      <c r="A74" s="212" t="s">
        <v>79</v>
      </c>
      <c r="B74" s="212">
        <v>21868</v>
      </c>
      <c r="C74" s="212">
        <v>375109</v>
      </c>
      <c r="D74" s="212">
        <v>75526</v>
      </c>
      <c r="E74" s="212" t="s">
        <v>17</v>
      </c>
      <c r="F74" s="212"/>
      <c r="G74" s="213"/>
    </row>
    <row r="75" spans="1:7" x14ac:dyDescent="0.3">
      <c r="A75" s="214" t="s">
        <v>80</v>
      </c>
      <c r="B75" s="214">
        <v>23754</v>
      </c>
      <c r="C75" s="214">
        <v>653169</v>
      </c>
      <c r="D75" s="214">
        <v>186717</v>
      </c>
      <c r="E75" s="214" t="s">
        <v>15</v>
      </c>
      <c r="F75" s="214"/>
      <c r="G75" s="215"/>
    </row>
    <row r="76" spans="1:7" x14ac:dyDescent="0.3">
      <c r="A76" s="212" t="s">
        <v>81</v>
      </c>
      <c r="B76" s="212">
        <v>30326</v>
      </c>
      <c r="C76" s="212">
        <v>191614</v>
      </c>
      <c r="D76" s="212">
        <v>34152</v>
      </c>
      <c r="E76" s="212" t="s">
        <v>8</v>
      </c>
      <c r="F76" s="212"/>
      <c r="G76" s="213"/>
    </row>
    <row r="77" spans="1:7" x14ac:dyDescent="0.3">
      <c r="A77" s="214" t="s">
        <v>82</v>
      </c>
      <c r="B77" s="214">
        <v>27024</v>
      </c>
      <c r="C77" s="214">
        <v>286250</v>
      </c>
      <c r="D77" s="214">
        <v>86753</v>
      </c>
      <c r="E77" s="214" t="s">
        <v>15</v>
      </c>
      <c r="F77" s="214"/>
      <c r="G77" s="215"/>
    </row>
    <row r="78" spans="1:7" x14ac:dyDescent="0.3">
      <c r="A78" s="212" t="s">
        <v>83</v>
      </c>
      <c r="B78" s="212">
        <v>31792</v>
      </c>
      <c r="C78" s="212">
        <v>491921</v>
      </c>
      <c r="D78" s="212">
        <v>126457</v>
      </c>
      <c r="E78" s="212" t="s">
        <v>8</v>
      </c>
      <c r="F78" s="212"/>
      <c r="G78" s="213"/>
    </row>
    <row r="79" spans="1:7" x14ac:dyDescent="0.3">
      <c r="A79" s="214" t="s">
        <v>84</v>
      </c>
      <c r="B79" s="214">
        <v>28106</v>
      </c>
      <c r="C79" s="214">
        <v>320820</v>
      </c>
      <c r="D79" s="214">
        <v>144881</v>
      </c>
      <c r="E79" s="214" t="s">
        <v>8</v>
      </c>
      <c r="F79" s="214"/>
      <c r="G79" s="215"/>
    </row>
    <row r="80" spans="1:7" x14ac:dyDescent="0.3">
      <c r="A80" s="212" t="s">
        <v>85</v>
      </c>
      <c r="B80" s="212">
        <v>31153</v>
      </c>
      <c r="C80" s="212">
        <v>389864</v>
      </c>
      <c r="D80" s="212">
        <v>163568</v>
      </c>
      <c r="E80" s="212" t="s">
        <v>13</v>
      </c>
      <c r="F80" s="212"/>
      <c r="G80" s="213"/>
    </row>
    <row r="81" spans="1:7" x14ac:dyDescent="0.3">
      <c r="A81" s="214" t="s">
        <v>86</v>
      </c>
      <c r="B81" s="214">
        <v>25559</v>
      </c>
      <c r="C81" s="214">
        <v>388677</v>
      </c>
      <c r="D81" s="214">
        <v>174507</v>
      </c>
      <c r="E81" s="214" t="s">
        <v>15</v>
      </c>
      <c r="F81" s="214"/>
      <c r="G81" s="215"/>
    </row>
    <row r="82" spans="1:7" x14ac:dyDescent="0.3">
      <c r="A82" s="212" t="s">
        <v>87</v>
      </c>
      <c r="B82" s="212">
        <v>20814</v>
      </c>
      <c r="C82" s="212">
        <v>551234</v>
      </c>
      <c r="D82" s="212">
        <v>104926</v>
      </c>
      <c r="E82" s="212" t="s">
        <v>15</v>
      </c>
      <c r="F82" s="212"/>
      <c r="G82" s="213"/>
    </row>
    <row r="83" spans="1:7" x14ac:dyDescent="0.3">
      <c r="A83" s="214" t="s">
        <v>88</v>
      </c>
      <c r="B83" s="214">
        <v>22733</v>
      </c>
      <c r="C83" s="214">
        <v>536448</v>
      </c>
      <c r="D83" s="214">
        <v>117361</v>
      </c>
      <c r="E83" s="214" t="s">
        <v>17</v>
      </c>
      <c r="F83" s="214"/>
      <c r="G83" s="215"/>
    </row>
    <row r="84" spans="1:7" x14ac:dyDescent="0.3">
      <c r="A84" s="212" t="s">
        <v>89</v>
      </c>
      <c r="B84" s="212">
        <v>30798</v>
      </c>
      <c r="C84" s="212">
        <v>296038</v>
      </c>
      <c r="D84" s="212">
        <v>97113</v>
      </c>
      <c r="E84" s="212" t="s">
        <v>17</v>
      </c>
      <c r="F84" s="212"/>
      <c r="G84" s="213"/>
    </row>
    <row r="85" spans="1:7" x14ac:dyDescent="0.3">
      <c r="A85" s="214" t="s">
        <v>90</v>
      </c>
      <c r="B85" s="214">
        <v>23789</v>
      </c>
      <c r="C85" s="214">
        <v>522567</v>
      </c>
      <c r="D85" s="214">
        <v>103013</v>
      </c>
      <c r="E85" s="214" t="s">
        <v>17</v>
      </c>
      <c r="F85" s="214"/>
      <c r="G85" s="215"/>
    </row>
    <row r="86" spans="1:7" x14ac:dyDescent="0.3">
      <c r="A86" s="212" t="s">
        <v>91</v>
      </c>
      <c r="B86" s="212">
        <v>25222</v>
      </c>
      <c r="C86" s="212">
        <v>361948</v>
      </c>
      <c r="D86" s="212">
        <v>52784</v>
      </c>
      <c r="E86" s="212" t="s">
        <v>13</v>
      </c>
      <c r="F86" s="212"/>
      <c r="G86" s="213"/>
    </row>
    <row r="87" spans="1:7" x14ac:dyDescent="0.3">
      <c r="A87" s="214" t="s">
        <v>92</v>
      </c>
      <c r="B87" s="214">
        <v>23041</v>
      </c>
      <c r="C87" s="214">
        <v>342396</v>
      </c>
      <c r="D87" s="214">
        <v>138585</v>
      </c>
      <c r="E87" s="214" t="s">
        <v>17</v>
      </c>
      <c r="F87" s="214"/>
      <c r="G87" s="215"/>
    </row>
    <row r="88" spans="1:7" x14ac:dyDescent="0.3">
      <c r="A88" s="212" t="s">
        <v>93</v>
      </c>
      <c r="B88" s="212">
        <v>28600</v>
      </c>
      <c r="C88" s="212">
        <v>551599</v>
      </c>
      <c r="D88" s="212">
        <v>157564</v>
      </c>
      <c r="E88" s="212" t="s">
        <v>15</v>
      </c>
      <c r="F88" s="212"/>
      <c r="G88" s="213"/>
    </row>
    <row r="89" spans="1:7" x14ac:dyDescent="0.3">
      <c r="A89" s="214" t="s">
        <v>94</v>
      </c>
      <c r="B89" s="214">
        <v>22837</v>
      </c>
      <c r="C89" s="214">
        <v>381769</v>
      </c>
      <c r="D89" s="214">
        <v>13951</v>
      </c>
      <c r="E89" s="214" t="s">
        <v>17</v>
      </c>
      <c r="F89" s="214"/>
      <c r="G89" s="215"/>
    </row>
    <row r="90" spans="1:7" x14ac:dyDescent="0.3">
      <c r="A90" s="212" t="s">
        <v>95</v>
      </c>
      <c r="B90" s="212">
        <v>20389</v>
      </c>
      <c r="C90" s="212">
        <v>514985</v>
      </c>
      <c r="D90" s="212">
        <v>156993</v>
      </c>
      <c r="E90" s="212" t="s">
        <v>10</v>
      </c>
      <c r="F90" s="212"/>
      <c r="G90" s="213"/>
    </row>
    <row r="91" spans="1:7" x14ac:dyDescent="0.3">
      <c r="A91" s="214" t="s">
        <v>96</v>
      </c>
      <c r="B91" s="214">
        <v>25578</v>
      </c>
      <c r="C91" s="214">
        <v>433043</v>
      </c>
      <c r="D91" s="214">
        <v>207309</v>
      </c>
      <c r="E91" s="214" t="s">
        <v>17</v>
      </c>
      <c r="F91" s="214"/>
      <c r="G91" s="215"/>
    </row>
    <row r="92" spans="1:7" x14ac:dyDescent="0.3">
      <c r="A92" s="212" t="s">
        <v>97</v>
      </c>
      <c r="B92" s="212">
        <v>30604</v>
      </c>
      <c r="C92" s="212">
        <v>666689</v>
      </c>
      <c r="D92" s="212">
        <v>211269</v>
      </c>
      <c r="E92" s="212" t="s">
        <v>8</v>
      </c>
      <c r="F92" s="212"/>
      <c r="G92" s="213"/>
    </row>
    <row r="93" spans="1:7" x14ac:dyDescent="0.3">
      <c r="A93" s="214" t="s">
        <v>98</v>
      </c>
      <c r="B93" s="214">
        <v>20806</v>
      </c>
      <c r="C93" s="214">
        <v>316385</v>
      </c>
      <c r="D93" s="214">
        <v>39276</v>
      </c>
      <c r="E93" s="214" t="s">
        <v>17</v>
      </c>
      <c r="F93" s="214"/>
      <c r="G93" s="215"/>
    </row>
    <row r="94" spans="1:7" x14ac:dyDescent="0.3">
      <c r="A94" s="212" t="s">
        <v>99</v>
      </c>
      <c r="B94" s="212">
        <v>22232</v>
      </c>
      <c r="C94" s="212">
        <v>407360</v>
      </c>
      <c r="D94" s="212">
        <v>89495</v>
      </c>
      <c r="E94" s="212" t="s">
        <v>17</v>
      </c>
      <c r="F94" s="212"/>
      <c r="G94" s="213"/>
    </row>
    <row r="95" spans="1:7" x14ac:dyDescent="0.3">
      <c r="A95" s="214" t="s">
        <v>100</v>
      </c>
      <c r="B95" s="214">
        <v>28888</v>
      </c>
      <c r="C95" s="214">
        <v>356948</v>
      </c>
      <c r="D95" s="214">
        <v>65047</v>
      </c>
      <c r="E95" s="214" t="s">
        <v>10</v>
      </c>
      <c r="F95" s="214"/>
      <c r="G95" s="215"/>
    </row>
    <row r="96" spans="1:7" x14ac:dyDescent="0.3">
      <c r="A96" s="212" t="s">
        <v>101</v>
      </c>
      <c r="B96" s="212">
        <v>24258</v>
      </c>
      <c r="C96" s="212">
        <v>184728</v>
      </c>
      <c r="D96" s="212">
        <v>44044</v>
      </c>
      <c r="E96" s="212" t="s">
        <v>15</v>
      </c>
      <c r="F96" s="212"/>
      <c r="G96" s="213"/>
    </row>
    <row r="97" spans="1:7" x14ac:dyDescent="0.3">
      <c r="A97" s="214" t="s">
        <v>102</v>
      </c>
      <c r="B97" s="214">
        <v>25340</v>
      </c>
      <c r="C97" s="214">
        <v>471544</v>
      </c>
      <c r="D97" s="214">
        <v>96218</v>
      </c>
      <c r="E97" s="214" t="s">
        <v>13</v>
      </c>
      <c r="F97" s="214"/>
      <c r="G97" s="215"/>
    </row>
    <row r="98" spans="1:7" x14ac:dyDescent="0.3">
      <c r="A98" s="212" t="s">
        <v>103</v>
      </c>
      <c r="B98" s="212">
        <v>32305</v>
      </c>
      <c r="C98" s="212">
        <v>254002</v>
      </c>
      <c r="D98" s="212">
        <v>83085</v>
      </c>
      <c r="E98" s="212" t="s">
        <v>8</v>
      </c>
      <c r="F98" s="212"/>
      <c r="G98" s="213"/>
    </row>
    <row r="99" spans="1:7" x14ac:dyDescent="0.3">
      <c r="A99" s="214" t="s">
        <v>104</v>
      </c>
      <c r="B99" s="214">
        <v>29313</v>
      </c>
      <c r="C99" s="214">
        <v>317752</v>
      </c>
      <c r="D99" s="214">
        <v>135317</v>
      </c>
      <c r="E99" s="214" t="s">
        <v>8</v>
      </c>
      <c r="F99" s="214"/>
      <c r="G99" s="215"/>
    </row>
    <row r="100" spans="1:7" x14ac:dyDescent="0.3">
      <c r="A100" s="212" t="s">
        <v>105</v>
      </c>
      <c r="B100" s="212">
        <v>26381</v>
      </c>
      <c r="C100" s="212">
        <v>392311</v>
      </c>
      <c r="D100" s="212">
        <v>54647</v>
      </c>
      <c r="E100" s="212" t="s">
        <v>15</v>
      </c>
      <c r="F100" s="212"/>
      <c r="G100" s="213"/>
    </row>
    <row r="101" spans="1:7" x14ac:dyDescent="0.3">
      <c r="A101" s="214" t="s">
        <v>106</v>
      </c>
      <c r="B101" s="214">
        <v>24538</v>
      </c>
      <c r="C101" s="214">
        <v>558129</v>
      </c>
      <c r="D101" s="214">
        <v>187485</v>
      </c>
      <c r="E101" s="214" t="s">
        <v>8</v>
      </c>
      <c r="F101" s="214"/>
      <c r="G101" s="215"/>
    </row>
    <row r="102" spans="1:7" x14ac:dyDescent="0.3">
      <c r="A102" s="212" t="s">
        <v>107</v>
      </c>
      <c r="B102" s="212">
        <v>28214</v>
      </c>
      <c r="C102" s="212">
        <v>273119</v>
      </c>
      <c r="D102" s="212">
        <v>124206</v>
      </c>
      <c r="E102" s="212" t="s">
        <v>8</v>
      </c>
      <c r="F102" s="212"/>
      <c r="G102" s="213"/>
    </row>
    <row r="103" spans="1:7" x14ac:dyDescent="0.3">
      <c r="A103" s="214" t="s">
        <v>108</v>
      </c>
      <c r="B103" s="214">
        <v>29116</v>
      </c>
      <c r="C103" s="214">
        <v>450768</v>
      </c>
      <c r="D103" s="214">
        <v>44886</v>
      </c>
      <c r="E103" s="214" t="s">
        <v>17</v>
      </c>
      <c r="F103" s="214"/>
      <c r="G103" s="215"/>
    </row>
    <row r="104" spans="1:7" x14ac:dyDescent="0.3">
      <c r="A104" s="212" t="s">
        <v>109</v>
      </c>
      <c r="B104" s="212">
        <v>23493</v>
      </c>
      <c r="C104" s="212">
        <v>519731</v>
      </c>
      <c r="D104" s="212">
        <v>175186</v>
      </c>
      <c r="E104" s="212" t="s">
        <v>8</v>
      </c>
      <c r="F104" s="212"/>
      <c r="G104" s="213"/>
    </row>
    <row r="105" spans="1:7" x14ac:dyDescent="0.3">
      <c r="A105" s="214" t="s">
        <v>110</v>
      </c>
      <c r="B105" s="214">
        <v>26357</v>
      </c>
      <c r="C105" s="214">
        <v>310130</v>
      </c>
      <c r="D105" s="214">
        <v>123502</v>
      </c>
      <c r="E105" s="214" t="s">
        <v>15</v>
      </c>
      <c r="F105" s="214"/>
      <c r="G105" s="215"/>
    </row>
    <row r="106" spans="1:7" ht="15" thickBot="1" x14ac:dyDescent="0.35">
      <c r="A106" s="216" t="s">
        <v>111</v>
      </c>
      <c r="B106" s="216">
        <v>32547</v>
      </c>
      <c r="C106" s="216">
        <v>270412</v>
      </c>
      <c r="D106" s="216">
        <v>62676</v>
      </c>
      <c r="E106" s="216" t="s">
        <v>10</v>
      </c>
      <c r="F106" s="216"/>
      <c r="G106" s="217"/>
    </row>
  </sheetData>
  <hyperlinks>
    <hyperlink ref="I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rgb="FFFFFF00"/>
  </sheetPr>
  <dimension ref="A1:N14"/>
  <sheetViews>
    <sheetView workbookViewId="0">
      <selection activeCell="N1" sqref="N1"/>
    </sheetView>
  </sheetViews>
  <sheetFormatPr defaultRowHeight="13.2" x14ac:dyDescent="0.25"/>
  <cols>
    <col min="1" max="1" width="15.6640625" style="181" customWidth="1"/>
    <col min="2" max="3" width="9.109375" style="181"/>
    <col min="4" max="4" width="14.33203125" style="181" customWidth="1"/>
    <col min="5" max="256" width="9.109375" style="181"/>
    <col min="257" max="257" width="15.6640625" style="181" customWidth="1"/>
    <col min="258" max="259" width="9.109375" style="181"/>
    <col min="260" max="260" width="14.33203125" style="181" customWidth="1"/>
    <col min="261" max="512" width="9.109375" style="181"/>
    <col min="513" max="513" width="15.6640625" style="181" customWidth="1"/>
    <col min="514" max="515" width="9.109375" style="181"/>
    <col min="516" max="516" width="14.33203125" style="181" customWidth="1"/>
    <col min="517" max="768" width="9.109375" style="181"/>
    <col min="769" max="769" width="15.6640625" style="181" customWidth="1"/>
    <col min="770" max="771" width="9.109375" style="181"/>
    <col min="772" max="772" width="14.33203125" style="181" customWidth="1"/>
    <col min="773" max="1024" width="9.109375" style="181"/>
    <col min="1025" max="1025" width="15.6640625" style="181" customWidth="1"/>
    <col min="1026" max="1027" width="9.109375" style="181"/>
    <col min="1028" max="1028" width="14.33203125" style="181" customWidth="1"/>
    <col min="1029" max="1280" width="9.109375" style="181"/>
    <col min="1281" max="1281" width="15.6640625" style="181" customWidth="1"/>
    <col min="1282" max="1283" width="9.109375" style="181"/>
    <col min="1284" max="1284" width="14.33203125" style="181" customWidth="1"/>
    <col min="1285" max="1536" width="9.109375" style="181"/>
    <col min="1537" max="1537" width="15.6640625" style="181" customWidth="1"/>
    <col min="1538" max="1539" width="9.109375" style="181"/>
    <col min="1540" max="1540" width="14.33203125" style="181" customWidth="1"/>
    <col min="1541" max="1792" width="9.109375" style="181"/>
    <col min="1793" max="1793" width="15.6640625" style="181" customWidth="1"/>
    <col min="1794" max="1795" width="9.109375" style="181"/>
    <col min="1796" max="1796" width="14.33203125" style="181" customWidth="1"/>
    <col min="1797" max="2048" width="9.109375" style="181"/>
    <col min="2049" max="2049" width="15.6640625" style="181" customWidth="1"/>
    <col min="2050" max="2051" width="9.109375" style="181"/>
    <col min="2052" max="2052" width="14.33203125" style="181" customWidth="1"/>
    <col min="2053" max="2304" width="9.109375" style="181"/>
    <col min="2305" max="2305" width="15.6640625" style="181" customWidth="1"/>
    <col min="2306" max="2307" width="9.109375" style="181"/>
    <col min="2308" max="2308" width="14.33203125" style="181" customWidth="1"/>
    <col min="2309" max="2560" width="9.109375" style="181"/>
    <col min="2561" max="2561" width="15.6640625" style="181" customWidth="1"/>
    <col min="2562" max="2563" width="9.109375" style="181"/>
    <col min="2564" max="2564" width="14.33203125" style="181" customWidth="1"/>
    <col min="2565" max="2816" width="9.109375" style="181"/>
    <col min="2817" max="2817" width="15.6640625" style="181" customWidth="1"/>
    <col min="2818" max="2819" width="9.109375" style="181"/>
    <col min="2820" max="2820" width="14.33203125" style="181" customWidth="1"/>
    <col min="2821" max="3072" width="9.109375" style="181"/>
    <col min="3073" max="3073" width="15.6640625" style="181" customWidth="1"/>
    <col min="3074" max="3075" width="9.109375" style="181"/>
    <col min="3076" max="3076" width="14.33203125" style="181" customWidth="1"/>
    <col min="3077" max="3328" width="9.109375" style="181"/>
    <col min="3329" max="3329" width="15.6640625" style="181" customWidth="1"/>
    <col min="3330" max="3331" width="9.109375" style="181"/>
    <col min="3332" max="3332" width="14.33203125" style="181" customWidth="1"/>
    <col min="3333" max="3584" width="9.109375" style="181"/>
    <col min="3585" max="3585" width="15.6640625" style="181" customWidth="1"/>
    <col min="3586" max="3587" width="9.109375" style="181"/>
    <col min="3588" max="3588" width="14.33203125" style="181" customWidth="1"/>
    <col min="3589" max="3840" width="9.109375" style="181"/>
    <col min="3841" max="3841" width="15.6640625" style="181" customWidth="1"/>
    <col min="3842" max="3843" width="9.109375" style="181"/>
    <col min="3844" max="3844" width="14.33203125" style="181" customWidth="1"/>
    <col min="3845" max="4096" width="9.109375" style="181"/>
    <col min="4097" max="4097" width="15.6640625" style="181" customWidth="1"/>
    <col min="4098" max="4099" width="9.109375" style="181"/>
    <col min="4100" max="4100" width="14.33203125" style="181" customWidth="1"/>
    <col min="4101" max="4352" width="9.109375" style="181"/>
    <col min="4353" max="4353" width="15.6640625" style="181" customWidth="1"/>
    <col min="4354" max="4355" width="9.109375" style="181"/>
    <col min="4356" max="4356" width="14.33203125" style="181" customWidth="1"/>
    <col min="4357" max="4608" width="9.109375" style="181"/>
    <col min="4609" max="4609" width="15.6640625" style="181" customWidth="1"/>
    <col min="4610" max="4611" width="9.109375" style="181"/>
    <col min="4612" max="4612" width="14.33203125" style="181" customWidth="1"/>
    <col min="4613" max="4864" width="9.109375" style="181"/>
    <col min="4865" max="4865" width="15.6640625" style="181" customWidth="1"/>
    <col min="4866" max="4867" width="9.109375" style="181"/>
    <col min="4868" max="4868" width="14.33203125" style="181" customWidth="1"/>
    <col min="4869" max="5120" width="9.109375" style="181"/>
    <col min="5121" max="5121" width="15.6640625" style="181" customWidth="1"/>
    <col min="5122" max="5123" width="9.109375" style="181"/>
    <col min="5124" max="5124" width="14.33203125" style="181" customWidth="1"/>
    <col min="5125" max="5376" width="9.109375" style="181"/>
    <col min="5377" max="5377" width="15.6640625" style="181" customWidth="1"/>
    <col min="5378" max="5379" width="9.109375" style="181"/>
    <col min="5380" max="5380" width="14.33203125" style="181" customWidth="1"/>
    <col min="5381" max="5632" width="9.109375" style="181"/>
    <col min="5633" max="5633" width="15.6640625" style="181" customWidth="1"/>
    <col min="5634" max="5635" width="9.109375" style="181"/>
    <col min="5636" max="5636" width="14.33203125" style="181" customWidth="1"/>
    <col min="5637" max="5888" width="9.109375" style="181"/>
    <col min="5889" max="5889" width="15.6640625" style="181" customWidth="1"/>
    <col min="5890" max="5891" width="9.109375" style="181"/>
    <col min="5892" max="5892" width="14.33203125" style="181" customWidth="1"/>
    <col min="5893" max="6144" width="9.109375" style="181"/>
    <col min="6145" max="6145" width="15.6640625" style="181" customWidth="1"/>
    <col min="6146" max="6147" width="9.109375" style="181"/>
    <col min="6148" max="6148" width="14.33203125" style="181" customWidth="1"/>
    <col min="6149" max="6400" width="9.109375" style="181"/>
    <col min="6401" max="6401" width="15.6640625" style="181" customWidth="1"/>
    <col min="6402" max="6403" width="9.109375" style="181"/>
    <col min="6404" max="6404" width="14.33203125" style="181" customWidth="1"/>
    <col min="6405" max="6656" width="9.109375" style="181"/>
    <col min="6657" max="6657" width="15.6640625" style="181" customWidth="1"/>
    <col min="6658" max="6659" width="9.109375" style="181"/>
    <col min="6660" max="6660" width="14.33203125" style="181" customWidth="1"/>
    <col min="6661" max="6912" width="9.109375" style="181"/>
    <col min="6913" max="6913" width="15.6640625" style="181" customWidth="1"/>
    <col min="6914" max="6915" width="9.109375" style="181"/>
    <col min="6916" max="6916" width="14.33203125" style="181" customWidth="1"/>
    <col min="6917" max="7168" width="9.109375" style="181"/>
    <col min="7169" max="7169" width="15.6640625" style="181" customWidth="1"/>
    <col min="7170" max="7171" width="9.109375" style="181"/>
    <col min="7172" max="7172" width="14.33203125" style="181" customWidth="1"/>
    <col min="7173" max="7424" width="9.109375" style="181"/>
    <col min="7425" max="7425" width="15.6640625" style="181" customWidth="1"/>
    <col min="7426" max="7427" width="9.109375" style="181"/>
    <col min="7428" max="7428" width="14.33203125" style="181" customWidth="1"/>
    <col min="7429" max="7680" width="9.109375" style="181"/>
    <col min="7681" max="7681" width="15.6640625" style="181" customWidth="1"/>
    <col min="7682" max="7683" width="9.109375" style="181"/>
    <col min="7684" max="7684" width="14.33203125" style="181" customWidth="1"/>
    <col min="7685" max="7936" width="9.109375" style="181"/>
    <col min="7937" max="7937" width="15.6640625" style="181" customWidth="1"/>
    <col min="7938" max="7939" width="9.109375" style="181"/>
    <col min="7940" max="7940" width="14.33203125" style="181" customWidth="1"/>
    <col min="7941" max="8192" width="9.109375" style="181"/>
    <col min="8193" max="8193" width="15.6640625" style="181" customWidth="1"/>
    <col min="8194" max="8195" width="9.109375" style="181"/>
    <col min="8196" max="8196" width="14.33203125" style="181" customWidth="1"/>
    <col min="8197" max="8448" width="9.109375" style="181"/>
    <col min="8449" max="8449" width="15.6640625" style="181" customWidth="1"/>
    <col min="8450" max="8451" width="9.109375" style="181"/>
    <col min="8452" max="8452" width="14.33203125" style="181" customWidth="1"/>
    <col min="8453" max="8704" width="9.109375" style="181"/>
    <col min="8705" max="8705" width="15.6640625" style="181" customWidth="1"/>
    <col min="8706" max="8707" width="9.109375" style="181"/>
    <col min="8708" max="8708" width="14.33203125" style="181" customWidth="1"/>
    <col min="8709" max="8960" width="9.109375" style="181"/>
    <col min="8961" max="8961" width="15.6640625" style="181" customWidth="1"/>
    <col min="8962" max="8963" width="9.109375" style="181"/>
    <col min="8964" max="8964" width="14.33203125" style="181" customWidth="1"/>
    <col min="8965" max="9216" width="9.109375" style="181"/>
    <col min="9217" max="9217" width="15.6640625" style="181" customWidth="1"/>
    <col min="9218" max="9219" width="9.109375" style="181"/>
    <col min="9220" max="9220" width="14.33203125" style="181" customWidth="1"/>
    <col min="9221" max="9472" width="9.109375" style="181"/>
    <col min="9473" max="9473" width="15.6640625" style="181" customWidth="1"/>
    <col min="9474" max="9475" width="9.109375" style="181"/>
    <col min="9476" max="9476" width="14.33203125" style="181" customWidth="1"/>
    <col min="9477" max="9728" width="9.109375" style="181"/>
    <col min="9729" max="9729" width="15.6640625" style="181" customWidth="1"/>
    <col min="9730" max="9731" width="9.109375" style="181"/>
    <col min="9732" max="9732" width="14.33203125" style="181" customWidth="1"/>
    <col min="9733" max="9984" width="9.109375" style="181"/>
    <col min="9985" max="9985" width="15.6640625" style="181" customWidth="1"/>
    <col min="9986" max="9987" width="9.109375" style="181"/>
    <col min="9988" max="9988" width="14.33203125" style="181" customWidth="1"/>
    <col min="9989" max="10240" width="9.109375" style="181"/>
    <col min="10241" max="10241" width="15.6640625" style="181" customWidth="1"/>
    <col min="10242" max="10243" width="9.109375" style="181"/>
    <col min="10244" max="10244" width="14.33203125" style="181" customWidth="1"/>
    <col min="10245" max="10496" width="9.109375" style="181"/>
    <col min="10497" max="10497" width="15.6640625" style="181" customWidth="1"/>
    <col min="10498" max="10499" width="9.109375" style="181"/>
    <col min="10500" max="10500" width="14.33203125" style="181" customWidth="1"/>
    <col min="10501" max="10752" width="9.109375" style="181"/>
    <col min="10753" max="10753" width="15.6640625" style="181" customWidth="1"/>
    <col min="10754" max="10755" width="9.109375" style="181"/>
    <col min="10756" max="10756" width="14.33203125" style="181" customWidth="1"/>
    <col min="10757" max="11008" width="9.109375" style="181"/>
    <col min="11009" max="11009" width="15.6640625" style="181" customWidth="1"/>
    <col min="11010" max="11011" width="9.109375" style="181"/>
    <col min="11012" max="11012" width="14.33203125" style="181" customWidth="1"/>
    <col min="11013" max="11264" width="9.109375" style="181"/>
    <col min="11265" max="11265" width="15.6640625" style="181" customWidth="1"/>
    <col min="11266" max="11267" width="9.109375" style="181"/>
    <col min="11268" max="11268" width="14.33203125" style="181" customWidth="1"/>
    <col min="11269" max="11520" width="9.109375" style="181"/>
    <col min="11521" max="11521" width="15.6640625" style="181" customWidth="1"/>
    <col min="11522" max="11523" width="9.109375" style="181"/>
    <col min="11524" max="11524" width="14.33203125" style="181" customWidth="1"/>
    <col min="11525" max="11776" width="9.109375" style="181"/>
    <col min="11777" max="11777" width="15.6640625" style="181" customWidth="1"/>
    <col min="11778" max="11779" width="9.109375" style="181"/>
    <col min="11780" max="11780" width="14.33203125" style="181" customWidth="1"/>
    <col min="11781" max="12032" width="9.109375" style="181"/>
    <col min="12033" max="12033" width="15.6640625" style="181" customWidth="1"/>
    <col min="12034" max="12035" width="9.109375" style="181"/>
    <col min="12036" max="12036" width="14.33203125" style="181" customWidth="1"/>
    <col min="12037" max="12288" width="9.109375" style="181"/>
    <col min="12289" max="12289" width="15.6640625" style="181" customWidth="1"/>
    <col min="12290" max="12291" width="9.109375" style="181"/>
    <col min="12292" max="12292" width="14.33203125" style="181" customWidth="1"/>
    <col min="12293" max="12544" width="9.109375" style="181"/>
    <col min="12545" max="12545" width="15.6640625" style="181" customWidth="1"/>
    <col min="12546" max="12547" width="9.109375" style="181"/>
    <col min="12548" max="12548" width="14.33203125" style="181" customWidth="1"/>
    <col min="12549" max="12800" width="9.109375" style="181"/>
    <col min="12801" max="12801" width="15.6640625" style="181" customWidth="1"/>
    <col min="12802" max="12803" width="9.109375" style="181"/>
    <col min="12804" max="12804" width="14.33203125" style="181" customWidth="1"/>
    <col min="12805" max="13056" width="9.109375" style="181"/>
    <col min="13057" max="13057" width="15.6640625" style="181" customWidth="1"/>
    <col min="13058" max="13059" width="9.109375" style="181"/>
    <col min="13060" max="13060" width="14.33203125" style="181" customWidth="1"/>
    <col min="13061" max="13312" width="9.109375" style="181"/>
    <col min="13313" max="13313" width="15.6640625" style="181" customWidth="1"/>
    <col min="13314" max="13315" width="9.109375" style="181"/>
    <col min="13316" max="13316" width="14.33203125" style="181" customWidth="1"/>
    <col min="13317" max="13568" width="9.109375" style="181"/>
    <col min="13569" max="13569" width="15.6640625" style="181" customWidth="1"/>
    <col min="13570" max="13571" width="9.109375" style="181"/>
    <col min="13572" max="13572" width="14.33203125" style="181" customWidth="1"/>
    <col min="13573" max="13824" width="9.109375" style="181"/>
    <col min="13825" max="13825" width="15.6640625" style="181" customWidth="1"/>
    <col min="13826" max="13827" width="9.109375" style="181"/>
    <col min="13828" max="13828" width="14.33203125" style="181" customWidth="1"/>
    <col min="13829" max="14080" width="9.109375" style="181"/>
    <col min="14081" max="14081" width="15.6640625" style="181" customWidth="1"/>
    <col min="14082" max="14083" width="9.109375" style="181"/>
    <col min="14084" max="14084" width="14.33203125" style="181" customWidth="1"/>
    <col min="14085" max="14336" width="9.109375" style="181"/>
    <col min="14337" max="14337" width="15.6640625" style="181" customWidth="1"/>
    <col min="14338" max="14339" width="9.109375" style="181"/>
    <col min="14340" max="14340" width="14.33203125" style="181" customWidth="1"/>
    <col min="14341" max="14592" width="9.109375" style="181"/>
    <col min="14593" max="14593" width="15.6640625" style="181" customWidth="1"/>
    <col min="14594" max="14595" width="9.109375" style="181"/>
    <col min="14596" max="14596" width="14.33203125" style="181" customWidth="1"/>
    <col min="14597" max="14848" width="9.109375" style="181"/>
    <col min="14849" max="14849" width="15.6640625" style="181" customWidth="1"/>
    <col min="14850" max="14851" width="9.109375" style="181"/>
    <col min="14852" max="14852" width="14.33203125" style="181" customWidth="1"/>
    <col min="14853" max="15104" width="9.109375" style="181"/>
    <col min="15105" max="15105" width="15.6640625" style="181" customWidth="1"/>
    <col min="15106" max="15107" width="9.109375" style="181"/>
    <col min="15108" max="15108" width="14.33203125" style="181" customWidth="1"/>
    <col min="15109" max="15360" width="9.109375" style="181"/>
    <col min="15361" max="15361" width="15.6640625" style="181" customWidth="1"/>
    <col min="15362" max="15363" width="9.109375" style="181"/>
    <col min="15364" max="15364" width="14.33203125" style="181" customWidth="1"/>
    <col min="15365" max="15616" width="9.109375" style="181"/>
    <col min="15617" max="15617" width="15.6640625" style="181" customWidth="1"/>
    <col min="15618" max="15619" width="9.109375" style="181"/>
    <col min="15620" max="15620" width="14.33203125" style="181" customWidth="1"/>
    <col min="15621" max="15872" width="9.109375" style="181"/>
    <col min="15873" max="15873" width="15.6640625" style="181" customWidth="1"/>
    <col min="15874" max="15875" width="9.109375" style="181"/>
    <col min="15876" max="15876" width="14.33203125" style="181" customWidth="1"/>
    <col min="15877" max="16128" width="9.109375" style="181"/>
    <col min="16129" max="16129" width="15.6640625" style="181" customWidth="1"/>
    <col min="16130" max="16131" width="9.109375" style="181"/>
    <col min="16132" max="16132" width="14.33203125" style="181" customWidth="1"/>
    <col min="16133" max="16384" width="9.109375" style="181"/>
  </cols>
  <sheetData>
    <row r="1" spans="1:14" ht="14.4" x14ac:dyDescent="0.3">
      <c r="N1" s="182" t="s">
        <v>1148</v>
      </c>
    </row>
    <row r="2" spans="1:14" ht="17.399999999999999" x14ac:dyDescent="0.3">
      <c r="A2" s="180" t="s">
        <v>765</v>
      </c>
    </row>
    <row r="5" spans="1:14" x14ac:dyDescent="0.25">
      <c r="A5" s="181" t="s">
        <v>766</v>
      </c>
      <c r="B5" s="181">
        <v>202</v>
      </c>
    </row>
    <row r="6" spans="1:14" x14ac:dyDescent="0.25">
      <c r="A6" s="181" t="s">
        <v>767</v>
      </c>
      <c r="B6" s="181">
        <v>82</v>
      </c>
    </row>
    <row r="7" spans="1:14" x14ac:dyDescent="0.25">
      <c r="A7" s="181" t="s">
        <v>768</v>
      </c>
      <c r="B7" s="181">
        <v>37</v>
      </c>
    </row>
    <row r="9" spans="1:14" x14ac:dyDescent="0.25">
      <c r="A9" s="181" t="s">
        <v>769</v>
      </c>
      <c r="B9" s="181">
        <f>B7*B6</f>
        <v>3034</v>
      </c>
    </row>
    <row r="12" spans="1:14" ht="45.75" customHeight="1" x14ac:dyDescent="0.3">
      <c r="A12" s="291" t="s">
        <v>1030</v>
      </c>
      <c r="B12" s="292"/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1:14" ht="30" customHeight="1" x14ac:dyDescent="0.3">
      <c r="A13" s="293" t="s">
        <v>1031</v>
      </c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1:14" ht="30" customHeight="1" x14ac:dyDescent="0.3">
      <c r="A14" s="293" t="s">
        <v>1032</v>
      </c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</sheetData>
  <mergeCells count="3">
    <mergeCell ref="A12:M12"/>
    <mergeCell ref="A13:M13"/>
    <mergeCell ref="A14:M14"/>
  </mergeCells>
  <hyperlinks>
    <hyperlink ref="N1" location="Obsah!A1" display="Obsah"/>
  </hyperlink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Scroll Bar 1">
              <controlPr defaultSize="0" autoPict="0">
                <anchor moveWithCells="1">
                  <from>
                    <xdr:col>3</xdr:col>
                    <xdr:colOff>0</xdr:colOff>
                    <xdr:row>5</xdr:row>
                    <xdr:rowOff>22860</xdr:rowOff>
                  </from>
                  <to>
                    <xdr:col>4</xdr:col>
                    <xdr:colOff>22860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Scroll Bar 2">
              <controlPr defaultSiz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4</xdr:col>
                    <xdr:colOff>7620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9" r:id="rId6" name="Scroll Bar 3">
              <controlPr defaultSize="0" autoPict="0">
                <anchor moveWithCells="1">
                  <from>
                    <xdr:col>3</xdr:col>
                    <xdr:colOff>22860</xdr:colOff>
                    <xdr:row>6</xdr:row>
                    <xdr:rowOff>0</xdr:rowOff>
                  </from>
                  <to>
                    <xdr:col>4</xdr:col>
                    <xdr:colOff>30480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tabColor rgb="FFFFFF00"/>
  </sheetPr>
  <dimension ref="A1:J26"/>
  <sheetViews>
    <sheetView workbookViewId="0">
      <selection activeCell="H2" sqref="H2"/>
    </sheetView>
  </sheetViews>
  <sheetFormatPr defaultColWidth="9.109375" defaultRowHeight="14.4" x14ac:dyDescent="0.3"/>
  <cols>
    <col min="1" max="1" width="33.109375" style="2" customWidth="1"/>
    <col min="2" max="2" width="20.44140625" style="2" customWidth="1"/>
    <col min="3" max="8" width="15.6640625" style="2" customWidth="1"/>
    <col min="9" max="9" width="21" style="2" customWidth="1"/>
    <col min="10" max="10" width="15.6640625" style="2" customWidth="1"/>
    <col min="11" max="16384" width="9.109375" style="2"/>
  </cols>
  <sheetData>
    <row r="1" spans="1:10" x14ac:dyDescent="0.3">
      <c r="A1" s="177" t="s">
        <v>762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B2" s="3"/>
      <c r="C2" s="3"/>
      <c r="D2" s="3"/>
      <c r="E2" s="3"/>
      <c r="F2" s="3"/>
      <c r="G2" s="3"/>
      <c r="H2" s="182" t="s">
        <v>1148</v>
      </c>
      <c r="I2" s="3"/>
      <c r="J2" s="3"/>
    </row>
    <row r="3" spans="1:10" x14ac:dyDescent="0.3">
      <c r="B3" s="3"/>
      <c r="C3" s="3"/>
      <c r="D3" s="3"/>
      <c r="E3" s="3"/>
      <c r="F3" s="3"/>
      <c r="G3" s="3"/>
      <c r="H3" s="3"/>
      <c r="I3" s="3"/>
      <c r="J3" s="3"/>
    </row>
    <row r="4" spans="1:10" x14ac:dyDescent="0.3">
      <c r="A4" s="2" t="s">
        <v>314</v>
      </c>
      <c r="B4" s="16">
        <v>42747</v>
      </c>
      <c r="C4" s="3"/>
      <c r="D4" s="3"/>
      <c r="E4" s="3"/>
      <c r="F4" s="3"/>
      <c r="G4" s="3"/>
      <c r="H4" s="3"/>
      <c r="I4" s="3"/>
      <c r="J4" s="3"/>
    </row>
    <row r="5" spans="1:10" x14ac:dyDescent="0.3">
      <c r="A5" s="2" t="s">
        <v>315</v>
      </c>
      <c r="B5" s="5">
        <v>42747</v>
      </c>
      <c r="C5" s="3"/>
      <c r="D5" s="3"/>
      <c r="E5" s="3"/>
      <c r="F5" s="3"/>
      <c r="G5" s="3"/>
      <c r="H5" s="3"/>
      <c r="I5" s="62"/>
      <c r="J5" s="3"/>
    </row>
    <row r="6" spans="1:10" x14ac:dyDescent="0.3">
      <c r="A6" s="2" t="s">
        <v>316</v>
      </c>
      <c r="B6" s="6">
        <v>42747</v>
      </c>
      <c r="C6" s="3"/>
      <c r="D6" s="3"/>
      <c r="E6" s="3"/>
      <c r="F6" s="3"/>
      <c r="G6" s="3"/>
      <c r="H6" s="3"/>
      <c r="I6" s="5"/>
      <c r="J6" s="3"/>
    </row>
    <row r="7" spans="1:10" x14ac:dyDescent="0.3">
      <c r="A7" s="2" t="s">
        <v>317</v>
      </c>
      <c r="B7" s="7">
        <v>42747</v>
      </c>
      <c r="C7" s="3"/>
      <c r="D7" s="3"/>
      <c r="E7" s="3"/>
      <c r="F7" s="3"/>
      <c r="G7" s="3"/>
      <c r="H7" s="3"/>
      <c r="I7" s="6"/>
      <c r="J7" s="3"/>
    </row>
    <row r="8" spans="1:10" x14ac:dyDescent="0.3">
      <c r="A8" s="2" t="s">
        <v>318</v>
      </c>
      <c r="B8" s="8">
        <v>42747</v>
      </c>
      <c r="C8" s="3"/>
      <c r="D8" s="3"/>
      <c r="E8" s="3"/>
      <c r="F8" s="3"/>
      <c r="G8" s="3"/>
      <c r="H8" s="3"/>
      <c r="I8" s="7"/>
      <c r="J8" s="3"/>
    </row>
    <row r="9" spans="1:10" x14ac:dyDescent="0.3">
      <c r="A9" s="2" t="s">
        <v>319</v>
      </c>
      <c r="B9" s="9">
        <v>42747</v>
      </c>
      <c r="C9" s="3"/>
      <c r="D9" s="3"/>
      <c r="E9" s="3"/>
      <c r="F9" s="3"/>
      <c r="G9" s="3"/>
      <c r="H9" s="3"/>
      <c r="I9" s="8"/>
      <c r="J9" s="3"/>
    </row>
    <row r="10" spans="1:10" x14ac:dyDescent="0.3">
      <c r="A10" s="2" t="s">
        <v>320</v>
      </c>
      <c r="B10" s="10">
        <v>42747</v>
      </c>
      <c r="C10" s="3"/>
      <c r="D10" s="3"/>
      <c r="E10" s="3"/>
      <c r="F10" s="3"/>
      <c r="G10" s="3"/>
      <c r="H10" s="3"/>
      <c r="I10" s="9"/>
      <c r="J10" s="3"/>
    </row>
    <row r="11" spans="1:10" x14ac:dyDescent="0.3">
      <c r="A11" s="2" t="s">
        <v>321</v>
      </c>
      <c r="B11" s="11">
        <v>42747</v>
      </c>
      <c r="C11" s="3"/>
      <c r="D11" s="3"/>
      <c r="E11" s="3"/>
      <c r="F11" s="3"/>
      <c r="G11" s="3"/>
      <c r="H11" s="3"/>
      <c r="I11" s="10"/>
      <c r="J11" s="3"/>
    </row>
    <row r="12" spans="1:10" x14ac:dyDescent="0.3">
      <c r="A12" s="2" t="s">
        <v>324</v>
      </c>
      <c r="B12" s="12">
        <v>42747</v>
      </c>
      <c r="C12" s="3"/>
      <c r="D12" s="3"/>
      <c r="E12" s="3"/>
      <c r="F12" s="3"/>
      <c r="G12" s="3"/>
      <c r="H12" s="3"/>
      <c r="I12" s="11"/>
      <c r="J12" s="3"/>
    </row>
    <row r="13" spans="1:10" x14ac:dyDescent="0.3">
      <c r="A13" s="2" t="s">
        <v>322</v>
      </c>
      <c r="B13" s="13">
        <v>42747</v>
      </c>
      <c r="C13" s="3"/>
      <c r="D13" s="3"/>
      <c r="E13" s="3"/>
      <c r="F13" s="3"/>
      <c r="G13" s="3"/>
      <c r="H13" s="3"/>
      <c r="I13" s="12"/>
      <c r="J13" s="3"/>
    </row>
    <row r="14" spans="1:10" x14ac:dyDescent="0.3">
      <c r="A14" s="2" t="s">
        <v>323</v>
      </c>
      <c r="B14" s="14">
        <v>42747</v>
      </c>
      <c r="C14" s="3"/>
      <c r="D14" s="3"/>
      <c r="E14" s="3"/>
      <c r="F14" s="3"/>
      <c r="G14" s="3"/>
      <c r="H14" s="3"/>
      <c r="I14" s="157"/>
      <c r="J14" s="3"/>
    </row>
    <row r="15" spans="1:10" x14ac:dyDescent="0.3">
      <c r="A15" s="2" t="s">
        <v>325</v>
      </c>
      <c r="B15" s="15">
        <v>42747</v>
      </c>
      <c r="C15" s="3"/>
      <c r="D15" s="3"/>
      <c r="E15" s="3"/>
      <c r="F15" s="3"/>
      <c r="G15" s="3"/>
      <c r="H15" s="3"/>
      <c r="I15" s="62"/>
      <c r="J15" s="3"/>
    </row>
    <row r="16" spans="1:10" x14ac:dyDescent="0.3">
      <c r="A16" s="2" t="s">
        <v>326</v>
      </c>
      <c r="B16" s="62">
        <v>42747</v>
      </c>
      <c r="C16" s="3"/>
      <c r="D16" s="3"/>
      <c r="E16" s="3"/>
      <c r="F16" s="3"/>
      <c r="G16" s="3"/>
      <c r="H16" s="3"/>
      <c r="I16" s="62"/>
      <c r="J16" s="3"/>
    </row>
    <row r="17" spans="1:10" x14ac:dyDescent="0.3">
      <c r="A17" s="2" t="s">
        <v>327</v>
      </c>
      <c r="B17" s="17">
        <v>42747</v>
      </c>
      <c r="C17" s="3"/>
      <c r="D17" s="3"/>
      <c r="E17" s="3"/>
      <c r="F17" s="3"/>
      <c r="G17" s="3"/>
      <c r="H17" s="3"/>
      <c r="I17" s="62"/>
      <c r="J17" s="3"/>
    </row>
    <row r="18" spans="1:10" x14ac:dyDescent="0.3">
      <c r="B18" s="3"/>
      <c r="C18" s="3"/>
      <c r="D18" s="3"/>
      <c r="E18" s="3"/>
      <c r="F18" s="3"/>
      <c r="G18" s="3"/>
      <c r="H18" s="3"/>
      <c r="I18" s="62"/>
      <c r="J18" s="3"/>
    </row>
    <row r="19" spans="1:10" x14ac:dyDescent="0.3">
      <c r="B19" s="3"/>
      <c r="C19" s="3"/>
      <c r="D19" s="3"/>
      <c r="E19" s="3"/>
      <c r="F19" s="3"/>
      <c r="G19" s="3"/>
      <c r="H19" s="3"/>
      <c r="I19" s="62"/>
      <c r="J19" s="3"/>
    </row>
    <row r="20" spans="1:10" x14ac:dyDescent="0.3"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3"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3"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3"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3">
      <c r="B26" s="3"/>
      <c r="C26" s="3"/>
      <c r="D26" s="3"/>
      <c r="E26" s="3"/>
      <c r="F26" s="3"/>
      <c r="G26" s="3"/>
      <c r="H26" s="3"/>
      <c r="I26" s="3"/>
      <c r="J26" s="3"/>
    </row>
  </sheetData>
  <hyperlinks>
    <hyperlink ref="H2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rgb="FFFFFF00"/>
  </sheetPr>
  <dimension ref="B1:J18"/>
  <sheetViews>
    <sheetView workbookViewId="0">
      <selection activeCell="B37" sqref="B37:F40"/>
    </sheetView>
  </sheetViews>
  <sheetFormatPr defaultRowHeight="14.4" x14ac:dyDescent="0.3"/>
  <cols>
    <col min="1" max="1" width="1.109375" customWidth="1"/>
    <col min="2" max="9" width="15.5546875" customWidth="1"/>
  </cols>
  <sheetData>
    <row r="1" spans="2:10" x14ac:dyDescent="0.3">
      <c r="J1" s="182" t="s">
        <v>1148</v>
      </c>
    </row>
    <row r="2" spans="2:10" x14ac:dyDescent="0.3">
      <c r="B2" s="178" t="s">
        <v>328</v>
      </c>
    </row>
    <row r="4" spans="2:10" x14ac:dyDescent="0.3">
      <c r="B4" t="s">
        <v>346</v>
      </c>
    </row>
    <row r="9" spans="2:10" ht="15" thickBot="1" x14ac:dyDescent="0.35"/>
    <row r="10" spans="2:10" ht="15" thickBot="1" x14ac:dyDescent="0.35">
      <c r="B10" s="67" t="s">
        <v>329</v>
      </c>
      <c r="C10" s="64" t="s">
        <v>330</v>
      </c>
      <c r="D10" s="70" t="s">
        <v>331</v>
      </c>
      <c r="E10" s="71" t="s">
        <v>332</v>
      </c>
      <c r="F10" s="71" t="s">
        <v>333</v>
      </c>
      <c r="G10" s="71" t="s">
        <v>334</v>
      </c>
      <c r="H10" s="71" t="s">
        <v>335</v>
      </c>
      <c r="I10" s="72" t="s">
        <v>133</v>
      </c>
    </row>
    <row r="11" spans="2:10" x14ac:dyDescent="0.3">
      <c r="B11" s="68" t="s">
        <v>252</v>
      </c>
      <c r="C11" s="65" t="s">
        <v>343</v>
      </c>
      <c r="D11" s="158">
        <v>1500</v>
      </c>
      <c r="E11" s="73">
        <v>23.81</v>
      </c>
      <c r="F11" s="73">
        <v>42.99</v>
      </c>
      <c r="G11" s="73">
        <v>92.68</v>
      </c>
      <c r="H11" s="73">
        <v>92.41</v>
      </c>
      <c r="I11" s="74">
        <f>SUM(E11:H11)</f>
        <v>251.89000000000001</v>
      </c>
    </row>
    <row r="12" spans="2:10" x14ac:dyDescent="0.3">
      <c r="B12" s="68" t="s">
        <v>341</v>
      </c>
      <c r="C12" s="65" t="s">
        <v>344</v>
      </c>
      <c r="D12" s="158">
        <v>3540</v>
      </c>
      <c r="E12" s="73">
        <v>90.49</v>
      </c>
      <c r="F12" s="73">
        <v>96.73</v>
      </c>
      <c r="G12" s="73">
        <v>94.98</v>
      </c>
      <c r="H12" s="73">
        <v>26.04</v>
      </c>
      <c r="I12" s="74">
        <f t="shared" ref="I12:I14" si="0">SUM(E12:H12)</f>
        <v>308.24</v>
      </c>
    </row>
    <row r="13" spans="2:10" x14ac:dyDescent="0.3">
      <c r="B13" s="68" t="s">
        <v>342</v>
      </c>
      <c r="C13" s="65" t="s">
        <v>345</v>
      </c>
      <c r="D13" s="158">
        <v>1500</v>
      </c>
      <c r="E13" s="73">
        <v>34.78</v>
      </c>
      <c r="F13" s="73">
        <v>65.2</v>
      </c>
      <c r="G13" s="73">
        <v>26.61</v>
      </c>
      <c r="H13" s="73">
        <v>28.6</v>
      </c>
      <c r="I13" s="74">
        <f t="shared" si="0"/>
        <v>155.19</v>
      </c>
    </row>
    <row r="14" spans="2:10" ht="15" thickBot="1" x14ac:dyDescent="0.35">
      <c r="B14" s="69" t="s">
        <v>252</v>
      </c>
      <c r="C14" s="66" t="s">
        <v>344</v>
      </c>
      <c r="D14" s="159">
        <v>880</v>
      </c>
      <c r="E14" s="75">
        <v>53.36</v>
      </c>
      <c r="F14" s="75">
        <v>27.07</v>
      </c>
      <c r="G14" s="75">
        <v>46.83</v>
      </c>
      <c r="H14" s="75">
        <v>55.53</v>
      </c>
      <c r="I14" s="76">
        <f t="shared" si="0"/>
        <v>182.79000000000002</v>
      </c>
    </row>
    <row r="16" spans="2:10" ht="18" x14ac:dyDescent="0.3">
      <c r="B16" s="77" t="s">
        <v>348</v>
      </c>
    </row>
    <row r="18" spans="2:2" x14ac:dyDescent="0.3">
      <c r="B18" s="34" t="s">
        <v>347</v>
      </c>
    </row>
  </sheetData>
  <hyperlinks>
    <hyperlink ref="J1" location="Obsah!A1" display="Obsah"/>
  </hyperlinks>
  <pageMargins left="0.7" right="0.7" top="0.78740157499999996" bottom="0.78740157499999996" header="0.3" footer="0.3"/>
  <pageSetup paperSize="9" orientation="portrait" verticalDpi="0" r:id="rId1"/>
  <ignoredErrors>
    <ignoredError sqref="I11:I14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</sheetPr>
  <dimension ref="B1:O68"/>
  <sheetViews>
    <sheetView showGridLines="0" topLeftCell="A22" workbookViewId="0">
      <selection activeCell="B37" sqref="B37:F40"/>
    </sheetView>
  </sheetViews>
  <sheetFormatPr defaultRowHeight="14.4" x14ac:dyDescent="0.3"/>
  <cols>
    <col min="1" max="1" width="4.6640625" customWidth="1"/>
  </cols>
  <sheetData>
    <row r="1" spans="2:15" x14ac:dyDescent="0.3">
      <c r="B1" s="178" t="s">
        <v>349</v>
      </c>
      <c r="O1" s="182" t="s">
        <v>1148</v>
      </c>
    </row>
    <row r="3" spans="2:15" x14ac:dyDescent="0.3">
      <c r="B3" s="37" t="s">
        <v>112</v>
      </c>
      <c r="C3" s="37" t="s">
        <v>116</v>
      </c>
      <c r="D3" s="37" t="s">
        <v>117</v>
      </c>
      <c r="E3" s="37" t="s">
        <v>118</v>
      </c>
      <c r="F3" s="37" t="s">
        <v>119</v>
      </c>
    </row>
    <row r="4" spans="2:15" x14ac:dyDescent="0.3">
      <c r="B4" s="79" t="s">
        <v>113</v>
      </c>
      <c r="C4" s="20">
        <v>15.8</v>
      </c>
      <c r="D4" s="20">
        <v>21.87</v>
      </c>
      <c r="E4" s="20">
        <v>25.3</v>
      </c>
      <c r="F4" s="20">
        <v>19.3</v>
      </c>
    </row>
    <row r="5" spans="2:15" x14ac:dyDescent="0.3">
      <c r="B5" s="79" t="s">
        <v>114</v>
      </c>
      <c r="C5" s="20">
        <v>11.8</v>
      </c>
      <c r="D5" s="20">
        <v>18.8</v>
      </c>
      <c r="E5" s="20">
        <v>20.2</v>
      </c>
      <c r="F5" s="20">
        <v>20.3</v>
      </c>
    </row>
    <row r="6" spans="2:15" x14ac:dyDescent="0.3">
      <c r="B6" s="79" t="s">
        <v>115</v>
      </c>
      <c r="C6" s="20">
        <v>26.3</v>
      </c>
      <c r="D6" s="20">
        <v>22.2</v>
      </c>
      <c r="E6" s="20">
        <v>18.2</v>
      </c>
      <c r="F6" s="20">
        <v>17.260000000000002</v>
      </c>
    </row>
    <row r="7" spans="2:15" x14ac:dyDescent="0.3">
      <c r="B7" s="21"/>
      <c r="C7" s="21"/>
      <c r="D7" s="21"/>
      <c r="E7" s="21"/>
      <c r="F7" s="21"/>
    </row>
    <row r="8" spans="2:15" x14ac:dyDescent="0.3">
      <c r="B8" s="37" t="s">
        <v>120</v>
      </c>
      <c r="C8" s="37" t="s">
        <v>116</v>
      </c>
      <c r="D8" s="37" t="s">
        <v>117</v>
      </c>
      <c r="E8" s="37" t="s">
        <v>118</v>
      </c>
      <c r="F8" s="37" t="s">
        <v>119</v>
      </c>
    </row>
    <row r="9" spans="2:15" x14ac:dyDescent="0.3">
      <c r="B9" s="79" t="s">
        <v>121</v>
      </c>
      <c r="C9" s="20">
        <v>15.21</v>
      </c>
      <c r="D9" s="20">
        <v>17.690000000000001</v>
      </c>
      <c r="E9" s="20">
        <v>23.22</v>
      </c>
      <c r="F9" s="20">
        <v>16.91</v>
      </c>
    </row>
    <row r="10" spans="2:15" x14ac:dyDescent="0.3">
      <c r="B10" s="79" t="s">
        <v>122</v>
      </c>
      <c r="C10" s="20">
        <v>22.43</v>
      </c>
      <c r="D10" s="20">
        <v>19.559999999999999</v>
      </c>
      <c r="E10" s="20">
        <v>17.54</v>
      </c>
      <c r="F10" s="20">
        <v>17.66</v>
      </c>
    </row>
    <row r="11" spans="2:15" x14ac:dyDescent="0.3">
      <c r="B11" s="79" t="s">
        <v>123</v>
      </c>
      <c r="C11" s="20">
        <v>24.53</v>
      </c>
      <c r="D11" s="20">
        <v>23.82</v>
      </c>
      <c r="E11" s="20">
        <v>17.29</v>
      </c>
      <c r="F11" s="20">
        <v>23.27</v>
      </c>
    </row>
    <row r="37" spans="2:6" x14ac:dyDescent="0.3">
      <c r="B37" s="37" t="s">
        <v>112</v>
      </c>
      <c r="C37" s="37" t="s">
        <v>116</v>
      </c>
      <c r="D37" s="37" t="s">
        <v>117</v>
      </c>
      <c r="E37" s="37" t="s">
        <v>118</v>
      </c>
      <c r="F37" s="37" t="s">
        <v>119</v>
      </c>
    </row>
    <row r="38" spans="2:6" x14ac:dyDescent="0.3">
      <c r="B38" s="79" t="s">
        <v>113</v>
      </c>
      <c r="C38" s="20">
        <v>15.8</v>
      </c>
      <c r="D38" s="20">
        <v>21.87</v>
      </c>
      <c r="E38" s="20">
        <v>25.3</v>
      </c>
      <c r="F38" s="20">
        <v>19.3</v>
      </c>
    </row>
    <row r="39" spans="2:6" x14ac:dyDescent="0.3">
      <c r="B39" s="79" t="s">
        <v>114</v>
      </c>
      <c r="C39" s="20">
        <v>11.8</v>
      </c>
      <c r="D39" s="20">
        <v>18.8</v>
      </c>
      <c r="E39" s="20">
        <v>20.2</v>
      </c>
      <c r="F39" s="20">
        <v>20.3</v>
      </c>
    </row>
    <row r="40" spans="2:6" x14ac:dyDescent="0.3">
      <c r="B40" s="79" t="s">
        <v>115</v>
      </c>
      <c r="C40" s="20">
        <v>26.3</v>
      </c>
      <c r="D40" s="20">
        <v>22.2</v>
      </c>
      <c r="E40" s="20">
        <v>18.2</v>
      </c>
      <c r="F40" s="20">
        <v>17.260000000000002</v>
      </c>
    </row>
    <row r="57" spans="2:6" x14ac:dyDescent="0.3">
      <c r="B57" s="37" t="s">
        <v>120</v>
      </c>
      <c r="C57" s="37" t="s">
        <v>116</v>
      </c>
      <c r="D57" s="37" t="s">
        <v>117</v>
      </c>
      <c r="E57" s="37" t="s">
        <v>118</v>
      </c>
      <c r="F57" s="37" t="s">
        <v>119</v>
      </c>
    </row>
    <row r="58" spans="2:6" x14ac:dyDescent="0.3">
      <c r="B58" s="79" t="s">
        <v>121</v>
      </c>
      <c r="C58" s="20">
        <v>15.21</v>
      </c>
      <c r="D58" s="20">
        <v>17.690000000000001</v>
      </c>
      <c r="E58" s="20">
        <v>23.22</v>
      </c>
      <c r="F58" s="20">
        <v>16.91</v>
      </c>
    </row>
    <row r="59" spans="2:6" x14ac:dyDescent="0.3">
      <c r="B59" s="79" t="s">
        <v>122</v>
      </c>
      <c r="C59" s="20">
        <v>22.43</v>
      </c>
      <c r="D59" s="20">
        <v>19.559999999999999</v>
      </c>
      <c r="E59" s="20">
        <v>17.54</v>
      </c>
      <c r="F59" s="20">
        <v>17.66</v>
      </c>
    </row>
    <row r="60" spans="2:6" x14ac:dyDescent="0.3">
      <c r="B60" s="79" t="s">
        <v>123</v>
      </c>
      <c r="C60" s="20">
        <v>24.53</v>
      </c>
      <c r="D60" s="20">
        <v>23.82</v>
      </c>
      <c r="E60" s="20">
        <v>17.29</v>
      </c>
      <c r="F60" s="20">
        <v>23.27</v>
      </c>
    </row>
    <row r="63" spans="2:6" x14ac:dyDescent="0.3">
      <c r="B63" s="78" t="s">
        <v>350</v>
      </c>
    </row>
    <row r="64" spans="2:6" x14ac:dyDescent="0.3">
      <c r="B64" t="s">
        <v>351</v>
      </c>
    </row>
    <row r="65" spans="3:3" x14ac:dyDescent="0.3">
      <c r="C65" t="s">
        <v>352</v>
      </c>
    </row>
    <row r="66" spans="3:3" x14ac:dyDescent="0.3">
      <c r="C66" t="s">
        <v>353</v>
      </c>
    </row>
    <row r="67" spans="3:3" x14ac:dyDescent="0.3">
      <c r="C67" t="s">
        <v>354</v>
      </c>
    </row>
    <row r="68" spans="3:3" x14ac:dyDescent="0.3">
      <c r="C68" s="78" t="s">
        <v>355</v>
      </c>
    </row>
  </sheetData>
  <conditionalFormatting sqref="C4:F6">
    <cfRule type="cellIs" dxfId="12" priority="7" operator="greaterThan">
      <formula>20</formula>
    </cfRule>
    <cfRule type="cellIs" dxfId="11" priority="8" operator="greaterThan">
      <formula>20</formula>
    </cfRule>
  </conditionalFormatting>
  <conditionalFormatting sqref="C9:F11">
    <cfRule type="iconSet" priority="6">
      <iconSet iconSet="3Symbols2">
        <cfvo type="percent" val="0"/>
        <cfvo type="num" val="16"/>
        <cfvo type="num" val="20"/>
      </iconSet>
    </cfRule>
  </conditionalFormatting>
  <hyperlinks>
    <hyperlink ref="O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rgb="FFFFFF00"/>
  </sheetPr>
  <dimension ref="B2:I39"/>
  <sheetViews>
    <sheetView topLeftCell="A13" workbookViewId="0">
      <selection activeCell="I28" sqref="I28"/>
    </sheetView>
  </sheetViews>
  <sheetFormatPr defaultRowHeight="14.4" x14ac:dyDescent="0.3"/>
  <cols>
    <col min="5" max="5" width="10" bestFit="1" customWidth="1"/>
    <col min="9" max="10" width="14.33203125" customWidth="1"/>
  </cols>
  <sheetData>
    <row r="2" spans="2:6" x14ac:dyDescent="0.3">
      <c r="B2" t="s">
        <v>112</v>
      </c>
      <c r="C2" t="s">
        <v>116</v>
      </c>
      <c r="D2" t="s">
        <v>117</v>
      </c>
      <c r="E2" t="s">
        <v>118</v>
      </c>
      <c r="F2" t="s">
        <v>119</v>
      </c>
    </row>
    <row r="3" spans="2:6" x14ac:dyDescent="0.3">
      <c r="B3" t="s">
        <v>113</v>
      </c>
      <c r="C3">
        <v>15.8</v>
      </c>
      <c r="D3">
        <v>21.87</v>
      </c>
      <c r="E3">
        <v>25.3</v>
      </c>
      <c r="F3">
        <v>19.3</v>
      </c>
    </row>
    <row r="4" spans="2:6" x14ac:dyDescent="0.3">
      <c r="B4" t="s">
        <v>114</v>
      </c>
      <c r="C4">
        <v>11.8</v>
      </c>
      <c r="D4">
        <v>18.8</v>
      </c>
      <c r="E4">
        <v>20.2</v>
      </c>
      <c r="F4">
        <v>20.3</v>
      </c>
    </row>
    <row r="5" spans="2:6" x14ac:dyDescent="0.3">
      <c r="B5" t="s">
        <v>115</v>
      </c>
      <c r="C5">
        <v>26.3</v>
      </c>
      <c r="D5">
        <v>22.2</v>
      </c>
      <c r="E5">
        <v>18.2</v>
      </c>
      <c r="F5">
        <v>17.260000000000002</v>
      </c>
    </row>
    <row r="10" spans="2:6" x14ac:dyDescent="0.3">
      <c r="B10" s="37" t="s">
        <v>112</v>
      </c>
      <c r="C10" s="37" t="s">
        <v>116</v>
      </c>
      <c r="D10" s="37" t="s">
        <v>117</v>
      </c>
      <c r="E10" s="37" t="s">
        <v>118</v>
      </c>
      <c r="F10" s="37" t="s">
        <v>119</v>
      </c>
    </row>
    <row r="11" spans="2:6" x14ac:dyDescent="0.3">
      <c r="B11" s="79" t="s">
        <v>113</v>
      </c>
      <c r="C11" s="20">
        <v>15.8</v>
      </c>
      <c r="D11" s="20">
        <v>21.87</v>
      </c>
      <c r="E11" s="20">
        <v>26</v>
      </c>
      <c r="F11" s="20">
        <v>19.3</v>
      </c>
    </row>
    <row r="12" spans="2:6" x14ac:dyDescent="0.3">
      <c r="B12" s="79" t="s">
        <v>114</v>
      </c>
      <c r="C12" s="20">
        <v>11.8</v>
      </c>
      <c r="D12" s="20">
        <v>18.8</v>
      </c>
      <c r="E12" s="20">
        <v>20</v>
      </c>
      <c r="F12" s="20">
        <v>20.3</v>
      </c>
    </row>
    <row r="13" spans="2:6" x14ac:dyDescent="0.3">
      <c r="B13" s="79" t="s">
        <v>115</v>
      </c>
      <c r="C13" s="20">
        <v>26.3</v>
      </c>
      <c r="D13" s="20">
        <v>22.2</v>
      </c>
      <c r="E13" s="20">
        <v>18.2</v>
      </c>
      <c r="F13" s="20">
        <v>17.260000000000002</v>
      </c>
    </row>
    <row r="17" spans="2:7" x14ac:dyDescent="0.3">
      <c r="B17" s="37" t="s">
        <v>120</v>
      </c>
      <c r="C17" s="37" t="s">
        <v>116</v>
      </c>
      <c r="D17" s="37" t="s">
        <v>117</v>
      </c>
      <c r="E17" s="37" t="s">
        <v>118</v>
      </c>
      <c r="F17" s="37" t="s">
        <v>119</v>
      </c>
    </row>
    <row r="18" spans="2:7" x14ac:dyDescent="0.3">
      <c r="B18" s="79" t="s">
        <v>121</v>
      </c>
      <c r="C18" s="20">
        <v>15.21</v>
      </c>
      <c r="D18" s="20">
        <v>17.690000000000001</v>
      </c>
      <c r="E18" s="20">
        <v>23.22</v>
      </c>
      <c r="F18" s="20">
        <v>16.91</v>
      </c>
    </row>
    <row r="19" spans="2:7" x14ac:dyDescent="0.3">
      <c r="B19" s="79" t="s">
        <v>122</v>
      </c>
      <c r="C19" s="20">
        <v>22.43</v>
      </c>
      <c r="D19" s="20">
        <v>19.559999999999999</v>
      </c>
      <c r="E19" s="20">
        <v>17.54</v>
      </c>
      <c r="F19" s="20">
        <v>17.66</v>
      </c>
    </row>
    <row r="20" spans="2:7" x14ac:dyDescent="0.3">
      <c r="B20" s="79" t="s">
        <v>123</v>
      </c>
      <c r="C20" s="20">
        <v>24.53</v>
      </c>
      <c r="D20" s="20">
        <v>23.82</v>
      </c>
      <c r="E20" s="20">
        <v>17.29</v>
      </c>
      <c r="F20" s="20">
        <v>23.27</v>
      </c>
    </row>
    <row r="23" spans="2:7" x14ac:dyDescent="0.3">
      <c r="B23" s="37" t="s">
        <v>112</v>
      </c>
      <c r="C23" s="37" t="s">
        <v>116</v>
      </c>
      <c r="D23" s="37" t="s">
        <v>117</v>
      </c>
      <c r="E23" s="37" t="s">
        <v>118</v>
      </c>
      <c r="F23" s="37" t="s">
        <v>119</v>
      </c>
    </row>
    <row r="24" spans="2:7" x14ac:dyDescent="0.3">
      <c r="B24" s="79" t="s">
        <v>113</v>
      </c>
      <c r="C24" s="20">
        <v>15.8</v>
      </c>
      <c r="D24" s="20">
        <v>21.87</v>
      </c>
      <c r="E24" s="20">
        <v>25.3</v>
      </c>
      <c r="F24" s="20">
        <v>25.5</v>
      </c>
    </row>
    <row r="25" spans="2:7" x14ac:dyDescent="0.3">
      <c r="B25" s="79" t="s">
        <v>114</v>
      </c>
      <c r="C25" s="20">
        <v>11.8</v>
      </c>
      <c r="D25" s="20">
        <v>18.8</v>
      </c>
      <c r="E25" s="20">
        <v>20.2</v>
      </c>
      <c r="F25" s="20">
        <v>20.3</v>
      </c>
    </row>
    <row r="26" spans="2:7" x14ac:dyDescent="0.3">
      <c r="B26" s="79" t="s">
        <v>115</v>
      </c>
      <c r="C26" s="20">
        <v>26.3</v>
      </c>
      <c r="D26" s="20">
        <v>22.2</v>
      </c>
      <c r="E26" s="20">
        <v>18.2</v>
      </c>
      <c r="F26" s="20">
        <v>17.260000000000002</v>
      </c>
    </row>
    <row r="30" spans="2:7" x14ac:dyDescent="0.3">
      <c r="B30" s="37" t="s">
        <v>112</v>
      </c>
      <c r="C30" s="37" t="s">
        <v>116</v>
      </c>
      <c r="D30" s="37" t="s">
        <v>117</v>
      </c>
      <c r="E30" s="37" t="s">
        <v>118</v>
      </c>
      <c r="F30" s="37" t="s">
        <v>119</v>
      </c>
      <c r="G30" s="37" t="s">
        <v>1193</v>
      </c>
    </row>
    <row r="31" spans="2:7" x14ac:dyDescent="0.3">
      <c r="B31" s="79" t="s">
        <v>113</v>
      </c>
      <c r="C31" s="20">
        <v>15.8</v>
      </c>
      <c r="D31" s="20">
        <v>21.87</v>
      </c>
      <c r="E31" s="20">
        <v>25.3</v>
      </c>
      <c r="F31" s="20">
        <v>19.3</v>
      </c>
      <c r="G31" s="20" t="s">
        <v>1177</v>
      </c>
    </row>
    <row r="32" spans="2:7" x14ac:dyDescent="0.3">
      <c r="B32" s="79" t="s">
        <v>114</v>
      </c>
      <c r="C32" s="20">
        <v>11.8</v>
      </c>
      <c r="D32" s="20">
        <v>18.8</v>
      </c>
      <c r="E32" s="20">
        <v>20.2</v>
      </c>
      <c r="F32" s="20">
        <v>20.3</v>
      </c>
      <c r="G32" s="20" t="s">
        <v>1176</v>
      </c>
    </row>
    <row r="33" spans="2:9" x14ac:dyDescent="0.3">
      <c r="B33" s="79" t="s">
        <v>115</v>
      </c>
      <c r="C33" s="20">
        <v>26.3</v>
      </c>
      <c r="D33" s="20">
        <v>22.2</v>
      </c>
      <c r="E33" s="20">
        <v>18.2</v>
      </c>
      <c r="F33" s="20">
        <v>17.260000000000002</v>
      </c>
      <c r="G33" s="20" t="s">
        <v>1178</v>
      </c>
    </row>
    <row r="36" spans="2:9" x14ac:dyDescent="0.3">
      <c r="B36" s="37" t="s">
        <v>112</v>
      </c>
      <c r="C36" s="37" t="s">
        <v>116</v>
      </c>
      <c r="D36" s="37" t="s">
        <v>117</v>
      </c>
      <c r="E36" s="37" t="s">
        <v>118</v>
      </c>
      <c r="F36" s="37" t="s">
        <v>119</v>
      </c>
    </row>
    <row r="37" spans="2:9" x14ac:dyDescent="0.3">
      <c r="B37" s="79" t="s">
        <v>113</v>
      </c>
      <c r="C37" s="20">
        <v>15.8</v>
      </c>
      <c r="D37" s="20">
        <v>21.87</v>
      </c>
      <c r="E37" s="284">
        <v>25.3</v>
      </c>
      <c r="F37" s="20">
        <v>19.3</v>
      </c>
      <c r="I37" s="285">
        <v>123456789</v>
      </c>
    </row>
    <row r="38" spans="2:9" x14ac:dyDescent="0.3">
      <c r="B38" s="79" t="s">
        <v>114</v>
      </c>
      <c r="C38" s="20">
        <v>11.8</v>
      </c>
      <c r="D38" s="20">
        <v>18.8</v>
      </c>
      <c r="E38" s="284">
        <v>20.2</v>
      </c>
      <c r="F38" s="20">
        <v>20.3</v>
      </c>
      <c r="I38" s="285">
        <v>111222</v>
      </c>
    </row>
    <row r="39" spans="2:9" x14ac:dyDescent="0.3">
      <c r="B39" s="79" t="s">
        <v>115</v>
      </c>
      <c r="C39" s="20">
        <v>26.3</v>
      </c>
      <c r="D39" s="20">
        <v>22.2</v>
      </c>
      <c r="E39" s="284">
        <v>18.2</v>
      </c>
      <c r="F39" s="20">
        <v>17.260000000000002</v>
      </c>
    </row>
  </sheetData>
  <conditionalFormatting sqref="C11:F13">
    <cfRule type="cellIs" dxfId="10" priority="5" operator="greaterThan">
      <formula>20</formula>
    </cfRule>
  </conditionalFormatting>
  <conditionalFormatting sqref="C18:F20">
    <cfRule type="cellIs" dxfId="9" priority="3" operator="greaterThan">
      <formula>20</formula>
    </cfRule>
  </conditionalFormatting>
  <conditionalFormatting sqref="B24:F26">
    <cfRule type="expression" dxfId="8" priority="2">
      <formula>$F24&gt;=25</formula>
    </cfRule>
  </conditionalFormatting>
  <conditionalFormatting sqref="B31:G33">
    <cfRule type="expression" dxfId="7" priority="1">
      <formula>$G31="PVZ"</formula>
    </cfRule>
  </conditionalFormatting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0E35CE90-F71B-4207-91BB-94C59D8B01F8}">
            <x14:iconSet iconSet="3Symbols2" custom="1">
              <x14:cfvo type="percent">
                <xm:f>0</xm:f>
              </x14:cfvo>
              <x14:cfvo type="num">
                <xm:f>16</xm:f>
              </x14:cfvo>
              <x14:cfvo type="num" gte="0">
                <xm:f>20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C18:F20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rgb="FFFFFF00"/>
  </sheetPr>
  <dimension ref="A1:P26"/>
  <sheetViews>
    <sheetView topLeftCell="A7" workbookViewId="0">
      <selection activeCell="R23" sqref="R23"/>
    </sheetView>
  </sheetViews>
  <sheetFormatPr defaultRowHeight="14.4" x14ac:dyDescent="0.3"/>
  <sheetData>
    <row r="1" spans="1:16" x14ac:dyDescent="0.3">
      <c r="B1" s="178" t="s">
        <v>349</v>
      </c>
      <c r="O1" s="182" t="s">
        <v>1148</v>
      </c>
    </row>
    <row r="2" spans="1:16" x14ac:dyDescent="0.3">
      <c r="H2" t="s">
        <v>356</v>
      </c>
    </row>
    <row r="3" spans="1:16" x14ac:dyDescent="0.3">
      <c r="B3" s="18" t="s">
        <v>112</v>
      </c>
      <c r="C3" s="18" t="s">
        <v>116</v>
      </c>
      <c r="D3" s="18" t="s">
        <v>117</v>
      </c>
      <c r="E3" s="18" t="s">
        <v>118</v>
      </c>
      <c r="F3" s="18" t="s">
        <v>119</v>
      </c>
      <c r="H3" s="18" t="s">
        <v>112</v>
      </c>
      <c r="I3" s="18" t="s">
        <v>116</v>
      </c>
      <c r="J3" s="18" t="s">
        <v>117</v>
      </c>
      <c r="K3" s="18" t="s">
        <v>118</v>
      </c>
      <c r="L3" s="18" t="s">
        <v>119</v>
      </c>
    </row>
    <row r="4" spans="1:16" x14ac:dyDescent="0.3">
      <c r="B4" s="19" t="s">
        <v>113</v>
      </c>
      <c r="C4" s="21">
        <v>15.8</v>
      </c>
      <c r="D4" s="21">
        <v>21.87</v>
      </c>
      <c r="E4" s="21">
        <v>25.3</v>
      </c>
      <c r="F4" s="21">
        <v>19.3</v>
      </c>
      <c r="H4" s="19" t="s">
        <v>113</v>
      </c>
      <c r="I4" s="20">
        <v>15.8</v>
      </c>
      <c r="J4" s="20">
        <v>21.87</v>
      </c>
      <c r="K4" s="20">
        <v>25.3</v>
      </c>
      <c r="L4" s="20">
        <v>19.3</v>
      </c>
    </row>
    <row r="5" spans="1:16" x14ac:dyDescent="0.3">
      <c r="B5" s="19" t="s">
        <v>114</v>
      </c>
      <c r="C5" s="21">
        <v>11.8</v>
      </c>
      <c r="D5" s="21">
        <v>18.8</v>
      </c>
      <c r="E5" s="21">
        <v>20.2</v>
      </c>
      <c r="F5" s="21">
        <v>20.3</v>
      </c>
      <c r="H5" s="19" t="s">
        <v>114</v>
      </c>
      <c r="I5" s="20">
        <v>11.8</v>
      </c>
      <c r="J5" s="20">
        <v>18.8</v>
      </c>
      <c r="K5" s="20">
        <v>20.2</v>
      </c>
      <c r="L5" s="20">
        <v>20.3</v>
      </c>
    </row>
    <row r="6" spans="1:16" x14ac:dyDescent="0.3">
      <c r="B6" s="19" t="s">
        <v>115</v>
      </c>
      <c r="C6" s="21">
        <v>26.3</v>
      </c>
      <c r="D6" s="21">
        <v>22.2</v>
      </c>
      <c r="E6" s="21">
        <v>18.2</v>
      </c>
      <c r="F6" s="21">
        <v>17.260000000000002</v>
      </c>
      <c r="H6" s="19" t="s">
        <v>115</v>
      </c>
      <c r="I6" s="20">
        <v>26.3</v>
      </c>
      <c r="J6" s="20">
        <v>22.2</v>
      </c>
      <c r="K6" s="20">
        <v>18.2</v>
      </c>
      <c r="L6" s="20">
        <v>17.260000000000002</v>
      </c>
    </row>
    <row r="7" spans="1:16" x14ac:dyDescent="0.3">
      <c r="B7" s="21"/>
      <c r="C7" s="21"/>
      <c r="D7" s="21"/>
      <c r="E7" s="21"/>
      <c r="F7" s="21"/>
    </row>
    <row r="8" spans="1:16" x14ac:dyDescent="0.3">
      <c r="B8" s="18" t="s">
        <v>120</v>
      </c>
      <c r="C8" s="18" t="s">
        <v>116</v>
      </c>
      <c r="D8" s="18" t="s">
        <v>117</v>
      </c>
      <c r="E8" s="18" t="s">
        <v>118</v>
      </c>
      <c r="F8" s="18" t="s">
        <v>119</v>
      </c>
      <c r="H8" s="18" t="s">
        <v>120</v>
      </c>
      <c r="I8" s="18" t="s">
        <v>116</v>
      </c>
      <c r="J8" s="18" t="s">
        <v>117</v>
      </c>
      <c r="K8" s="18" t="s">
        <v>118</v>
      </c>
      <c r="L8" s="18" t="s">
        <v>119</v>
      </c>
    </row>
    <row r="9" spans="1:16" x14ac:dyDescent="0.3">
      <c r="B9" s="19" t="s">
        <v>121</v>
      </c>
      <c r="C9" s="21">
        <v>15.21</v>
      </c>
      <c r="D9" s="21">
        <v>17.690000000000001</v>
      </c>
      <c r="E9" s="21">
        <v>23.22</v>
      </c>
      <c r="F9" s="21">
        <v>16.91</v>
      </c>
      <c r="H9" s="19" t="s">
        <v>121</v>
      </c>
      <c r="I9" s="20">
        <v>15.21</v>
      </c>
      <c r="J9" s="20">
        <v>17.690000000000001</v>
      </c>
      <c r="K9" s="20">
        <v>23.22</v>
      </c>
      <c r="L9" s="20">
        <v>16.91</v>
      </c>
    </row>
    <row r="10" spans="1:16" x14ac:dyDescent="0.3">
      <c r="B10" s="19" t="s">
        <v>122</v>
      </c>
      <c r="C10" s="21">
        <v>22.43</v>
      </c>
      <c r="D10" s="21">
        <v>19.559999999999999</v>
      </c>
      <c r="E10" s="21">
        <v>17.54</v>
      </c>
      <c r="F10" s="21">
        <v>17.66</v>
      </c>
      <c r="H10" s="19" t="s">
        <v>122</v>
      </c>
      <c r="I10" s="20">
        <v>22.43</v>
      </c>
      <c r="J10" s="20">
        <v>19.559999999999999</v>
      </c>
      <c r="K10" s="20">
        <v>17.54</v>
      </c>
      <c r="L10" s="20">
        <v>17.66</v>
      </c>
    </row>
    <row r="11" spans="1:16" x14ac:dyDescent="0.3">
      <c r="B11" s="19" t="s">
        <v>123</v>
      </c>
      <c r="C11" s="21">
        <v>24.53</v>
      </c>
      <c r="D11" s="21">
        <v>23.82</v>
      </c>
      <c r="E11" s="21">
        <v>17.29</v>
      </c>
      <c r="F11" s="21">
        <v>23.27</v>
      </c>
      <c r="H11" s="19" t="s">
        <v>123</v>
      </c>
      <c r="I11" s="20">
        <v>24.53</v>
      </c>
      <c r="J11" s="20">
        <v>23.82</v>
      </c>
      <c r="K11" s="20">
        <v>17.29</v>
      </c>
      <c r="L11" s="20">
        <v>23.27</v>
      </c>
    </row>
    <row r="14" spans="1:16" x14ac:dyDescent="0.3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</row>
    <row r="15" spans="1:16" x14ac:dyDescent="0.3">
      <c r="A15" s="206"/>
      <c r="B15" s="18" t="s">
        <v>120</v>
      </c>
      <c r="C15" s="18" t="s">
        <v>116</v>
      </c>
      <c r="D15" s="18" t="s">
        <v>117</v>
      </c>
      <c r="E15" s="18" t="s">
        <v>118</v>
      </c>
      <c r="F15" s="18" t="s">
        <v>119</v>
      </c>
      <c r="G15" s="206"/>
      <c r="H15" s="206"/>
      <c r="I15" s="206"/>
      <c r="J15" s="206"/>
      <c r="K15" s="206"/>
      <c r="L15" s="206"/>
      <c r="M15" s="206"/>
      <c r="N15" s="206"/>
      <c r="O15" s="206"/>
      <c r="P15" s="206"/>
    </row>
    <row r="16" spans="1:16" x14ac:dyDescent="0.3">
      <c r="A16" s="206"/>
      <c r="B16" s="19" t="s">
        <v>121</v>
      </c>
      <c r="C16" s="21">
        <v>21</v>
      </c>
      <c r="D16" s="21">
        <v>25</v>
      </c>
      <c r="E16" s="21">
        <v>23.22</v>
      </c>
      <c r="F16" s="21">
        <v>16.91</v>
      </c>
      <c r="G16" s="206"/>
      <c r="H16" s="206"/>
      <c r="I16" s="206"/>
      <c r="J16" s="206"/>
      <c r="K16" s="206"/>
      <c r="L16" s="206"/>
      <c r="M16" s="206"/>
      <c r="N16" s="206"/>
      <c r="O16" s="206"/>
      <c r="P16" s="206"/>
    </row>
    <row r="17" spans="1:16" x14ac:dyDescent="0.3">
      <c r="A17" s="206"/>
      <c r="B17" s="19" t="s">
        <v>122</v>
      </c>
      <c r="C17" s="21">
        <v>30</v>
      </c>
      <c r="D17" s="21">
        <v>19.559999999999999</v>
      </c>
      <c r="E17" s="21">
        <v>25</v>
      </c>
      <c r="F17" s="21">
        <v>17.66</v>
      </c>
      <c r="G17" s="206"/>
      <c r="H17" s="206"/>
      <c r="I17" s="206"/>
      <c r="J17" s="206"/>
      <c r="K17" s="206"/>
      <c r="L17" s="206"/>
      <c r="M17" s="206"/>
      <c r="N17" s="206"/>
      <c r="O17" s="206"/>
      <c r="P17" s="206"/>
    </row>
    <row r="18" spans="1:16" x14ac:dyDescent="0.3">
      <c r="A18" s="206"/>
      <c r="B18" s="19" t="s">
        <v>123</v>
      </c>
      <c r="C18" s="21">
        <v>6</v>
      </c>
      <c r="D18" s="21">
        <v>23.82</v>
      </c>
      <c r="E18" s="21">
        <v>17.29</v>
      </c>
      <c r="F18" s="21">
        <v>25</v>
      </c>
      <c r="G18" s="206"/>
      <c r="H18" s="206"/>
      <c r="I18" s="206"/>
      <c r="J18" s="206"/>
      <c r="K18" s="206"/>
      <c r="L18" s="206"/>
      <c r="M18" s="206"/>
      <c r="N18" s="206"/>
      <c r="O18" s="206"/>
      <c r="P18" s="206"/>
    </row>
    <row r="19" spans="1:16" x14ac:dyDescent="0.3">
      <c r="A19" s="206"/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</row>
    <row r="20" spans="1:16" x14ac:dyDescent="0.3">
      <c r="A20" s="206"/>
      <c r="B20" s="206" t="s">
        <v>1033</v>
      </c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</row>
    <row r="21" spans="1:16" x14ac:dyDescent="0.3">
      <c r="A21" s="206"/>
      <c r="B21" s="206" t="s">
        <v>1034</v>
      </c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</row>
    <row r="22" spans="1:16" x14ac:dyDescent="0.3">
      <c r="A22" s="206"/>
      <c r="B22" s="206" t="s">
        <v>1035</v>
      </c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</row>
    <row r="23" spans="1:16" x14ac:dyDescent="0.3">
      <c r="A23" s="206"/>
      <c r="B23" s="206" t="s">
        <v>1036</v>
      </c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</row>
    <row r="24" spans="1:16" x14ac:dyDescent="0.3">
      <c r="A24" s="206"/>
      <c r="B24" s="206" t="s">
        <v>1037</v>
      </c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</row>
    <row r="25" spans="1:16" x14ac:dyDescent="0.3">
      <c r="A25" s="206"/>
      <c r="B25" s="206" t="s">
        <v>1038</v>
      </c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</row>
    <row r="26" spans="1:16" x14ac:dyDescent="0.3">
      <c r="A26" s="206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</row>
  </sheetData>
  <conditionalFormatting sqref="I9:L11">
    <cfRule type="iconSet" priority="10">
      <iconSet iconSet="3Symbols2">
        <cfvo type="percent" val="0"/>
        <cfvo type="num" val="16"/>
        <cfvo type="num" val="20"/>
      </iconSet>
    </cfRule>
  </conditionalFormatting>
  <conditionalFormatting sqref="I4:L6">
    <cfRule type="cellIs" dxfId="6" priority="8" operator="greaterThan">
      <formula>20</formula>
    </cfRule>
    <cfRule type="cellIs" dxfId="5" priority="9" operator="greaterThan">
      <formula>20</formula>
    </cfRule>
  </conditionalFormatting>
  <conditionalFormatting sqref="B16:F18">
    <cfRule type="expression" dxfId="4" priority="12">
      <formula>$D16&gt;=25</formula>
    </cfRule>
    <cfRule type="expression" dxfId="3" priority="13">
      <formula>$C16&gt;=25</formula>
    </cfRule>
  </conditionalFormatting>
  <hyperlinks>
    <hyperlink ref="O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rgb="FFFFFF00"/>
  </sheetPr>
  <dimension ref="B1:N29"/>
  <sheetViews>
    <sheetView topLeftCell="A13" workbookViewId="0">
      <selection activeCell="N1" sqref="N1"/>
    </sheetView>
  </sheetViews>
  <sheetFormatPr defaultRowHeight="14.4" x14ac:dyDescent="0.3"/>
  <cols>
    <col min="1" max="1" width="2.109375" customWidth="1"/>
  </cols>
  <sheetData>
    <row r="1" spans="2:14" x14ac:dyDescent="0.3">
      <c r="N1" s="182" t="s">
        <v>1148</v>
      </c>
    </row>
    <row r="2" spans="2:14" x14ac:dyDescent="0.3">
      <c r="B2" s="178" t="s">
        <v>357</v>
      </c>
    </row>
    <row r="25" spans="2:3" x14ac:dyDescent="0.3">
      <c r="B25" s="34" t="s">
        <v>358</v>
      </c>
    </row>
    <row r="26" spans="2:3" x14ac:dyDescent="0.3">
      <c r="B26" t="s">
        <v>362</v>
      </c>
    </row>
    <row r="27" spans="2:3" x14ac:dyDescent="0.3">
      <c r="C27" t="s">
        <v>359</v>
      </c>
    </row>
    <row r="28" spans="2:3" x14ac:dyDescent="0.3">
      <c r="C28" t="s">
        <v>360</v>
      </c>
    </row>
    <row r="29" spans="2:3" x14ac:dyDescent="0.3">
      <c r="C29" t="s">
        <v>361</v>
      </c>
    </row>
  </sheetData>
  <hyperlinks>
    <hyperlink ref="N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rgb="FFFFFF00"/>
  </sheetPr>
  <dimension ref="A1:S109"/>
  <sheetViews>
    <sheetView workbookViewId="0">
      <selection activeCell="I1" sqref="I1"/>
    </sheetView>
  </sheetViews>
  <sheetFormatPr defaultRowHeight="14.4" x14ac:dyDescent="0.3"/>
  <cols>
    <col min="4" max="4" width="15.109375" customWidth="1"/>
    <col min="6" max="6" width="15.6640625" customWidth="1"/>
  </cols>
  <sheetData>
    <row r="1" spans="1:19" x14ac:dyDescent="0.3">
      <c r="A1" s="178" t="s">
        <v>569</v>
      </c>
      <c r="I1" s="182" t="s">
        <v>1148</v>
      </c>
    </row>
    <row r="2" spans="1:19" x14ac:dyDescent="0.3">
      <c r="A2" s="34" t="s">
        <v>571</v>
      </c>
    </row>
    <row r="6" spans="1:19" x14ac:dyDescent="0.3">
      <c r="A6" s="80" t="s">
        <v>178</v>
      </c>
      <c r="B6" s="80" t="s">
        <v>244</v>
      </c>
      <c r="C6" s="80" t="s">
        <v>363</v>
      </c>
      <c r="D6" s="80" t="s">
        <v>364</v>
      </c>
      <c r="E6" s="81" t="s">
        <v>180</v>
      </c>
      <c r="F6" s="80" t="s">
        <v>365</v>
      </c>
      <c r="G6" s="81" t="s">
        <v>366</v>
      </c>
      <c r="H6" s="81" t="s">
        <v>367</v>
      </c>
      <c r="I6" s="81" t="s">
        <v>368</v>
      </c>
      <c r="J6" s="81" t="s">
        <v>369</v>
      </c>
      <c r="K6" s="81" t="s">
        <v>370</v>
      </c>
      <c r="L6" s="81" t="s">
        <v>371</v>
      </c>
      <c r="M6" s="81" t="s">
        <v>372</v>
      </c>
      <c r="N6" s="81" t="s">
        <v>373</v>
      </c>
      <c r="O6" s="81" t="s">
        <v>374</v>
      </c>
      <c r="P6" s="81" t="s">
        <v>375</v>
      </c>
      <c r="Q6" s="81" t="s">
        <v>376</v>
      </c>
      <c r="R6" s="81" t="s">
        <v>377</v>
      </c>
      <c r="S6" s="81" t="s">
        <v>378</v>
      </c>
    </row>
    <row r="7" spans="1:19" x14ac:dyDescent="0.3">
      <c r="A7" s="82" t="s">
        <v>379</v>
      </c>
      <c r="B7" s="82" t="s">
        <v>273</v>
      </c>
      <c r="C7" s="82" t="s">
        <v>380</v>
      </c>
      <c r="D7" s="83">
        <v>28501</v>
      </c>
      <c r="E7">
        <f t="shared" ref="E7:E70" ca="1" si="0">INT((TODAY()-D7)/365)</f>
        <v>45</v>
      </c>
      <c r="F7" s="83">
        <v>35946</v>
      </c>
      <c r="G7">
        <f t="shared" ref="G7:G70" ca="1" si="1">INT((TODAY()-F7)/365)</f>
        <v>24</v>
      </c>
      <c r="H7">
        <v>4</v>
      </c>
      <c r="I7" t="str">
        <f t="shared" ref="I7:I70" ca="1" si="2">IF(H7&lt;=G7,"splňuje","nesplňuje")</f>
        <v>splňuje</v>
      </c>
      <c r="J7" t="str">
        <f t="shared" ref="J7:J70" ca="1" si="3">IF(G7&lt;=5,"méně než 5",IF(G7&lt;=10,"5-10",IF(G7&lt;=20,"10-20","víc než 20")))</f>
        <v>víc než 20</v>
      </c>
      <c r="K7" t="s">
        <v>381</v>
      </c>
      <c r="L7">
        <f t="shared" ref="L7:L70" si="4">IF(K7="Z",1,IF(K7="VYUČ",2,IF(K7="SŠ",3,4)))</f>
        <v>2</v>
      </c>
      <c r="M7" t="s">
        <v>381</v>
      </c>
      <c r="N7">
        <f t="shared" ref="N7:N70" si="5">IF(M7="Z",1,IF(M7="VYUČ",2,IF(M7="SŠ",3,4)))</f>
        <v>2</v>
      </c>
      <c r="O7" t="str">
        <f t="shared" ref="O7:O70" si="6">IF(N7=L7,"splňuje",IF(N7&lt;L7,"nesplňuje","překračuje"))</f>
        <v>splňuje</v>
      </c>
      <c r="P7" t="s">
        <v>382</v>
      </c>
      <c r="Q7" t="s">
        <v>383</v>
      </c>
      <c r="R7" t="s">
        <v>384</v>
      </c>
      <c r="S7">
        <v>12873</v>
      </c>
    </row>
    <row r="8" spans="1:19" x14ac:dyDescent="0.3">
      <c r="A8" s="82" t="s">
        <v>385</v>
      </c>
      <c r="B8" s="82" t="s">
        <v>386</v>
      </c>
      <c r="C8" s="82" t="s">
        <v>387</v>
      </c>
      <c r="D8" s="83">
        <v>27167</v>
      </c>
      <c r="E8">
        <f t="shared" ca="1" si="0"/>
        <v>48</v>
      </c>
      <c r="F8" s="83">
        <v>35284</v>
      </c>
      <c r="G8">
        <f t="shared" ca="1" si="1"/>
        <v>26</v>
      </c>
      <c r="H8">
        <v>8</v>
      </c>
      <c r="I8" t="str">
        <f t="shared" ca="1" si="2"/>
        <v>splňuje</v>
      </c>
      <c r="J8" t="str">
        <f t="shared" ca="1" si="3"/>
        <v>víc než 20</v>
      </c>
      <c r="K8" t="s">
        <v>381</v>
      </c>
      <c r="L8">
        <f t="shared" si="4"/>
        <v>2</v>
      </c>
      <c r="M8" t="s">
        <v>381</v>
      </c>
      <c r="N8">
        <f t="shared" si="5"/>
        <v>2</v>
      </c>
      <c r="O8" t="str">
        <f t="shared" si="6"/>
        <v>splňuje</v>
      </c>
      <c r="P8" t="s">
        <v>382</v>
      </c>
      <c r="Q8" t="s">
        <v>383</v>
      </c>
      <c r="R8" t="s">
        <v>388</v>
      </c>
      <c r="S8">
        <v>11274</v>
      </c>
    </row>
    <row r="9" spans="1:19" x14ac:dyDescent="0.3">
      <c r="A9" s="82" t="s">
        <v>389</v>
      </c>
      <c r="B9" s="82" t="s">
        <v>195</v>
      </c>
      <c r="C9" s="82" t="s">
        <v>387</v>
      </c>
      <c r="D9" s="83">
        <v>26314</v>
      </c>
      <c r="E9">
        <f t="shared" ca="1" si="0"/>
        <v>51</v>
      </c>
      <c r="F9" s="83">
        <v>35442</v>
      </c>
      <c r="G9">
        <f t="shared" ca="1" si="1"/>
        <v>26</v>
      </c>
      <c r="H9">
        <v>0</v>
      </c>
      <c r="I9" t="str">
        <f t="shared" ca="1" si="2"/>
        <v>splňuje</v>
      </c>
      <c r="J9" t="str">
        <f t="shared" ca="1" si="3"/>
        <v>víc než 20</v>
      </c>
      <c r="K9" t="s">
        <v>390</v>
      </c>
      <c r="L9">
        <f t="shared" si="4"/>
        <v>1</v>
      </c>
      <c r="M9" t="s">
        <v>390</v>
      </c>
      <c r="N9">
        <f t="shared" si="5"/>
        <v>1</v>
      </c>
      <c r="O9" t="str">
        <f t="shared" si="6"/>
        <v>splňuje</v>
      </c>
      <c r="P9" t="s">
        <v>382</v>
      </c>
      <c r="Q9" t="s">
        <v>383</v>
      </c>
      <c r="R9" t="s">
        <v>391</v>
      </c>
      <c r="S9">
        <v>9165</v>
      </c>
    </row>
    <row r="10" spans="1:19" x14ac:dyDescent="0.3">
      <c r="A10" s="82" t="s">
        <v>392</v>
      </c>
      <c r="B10" s="82" t="s">
        <v>393</v>
      </c>
      <c r="C10" s="82" t="s">
        <v>387</v>
      </c>
      <c r="D10" s="83">
        <v>25892</v>
      </c>
      <c r="E10">
        <f t="shared" ca="1" si="0"/>
        <v>52</v>
      </c>
      <c r="F10" s="83">
        <v>35051</v>
      </c>
      <c r="G10">
        <f t="shared" ca="1" si="1"/>
        <v>27</v>
      </c>
      <c r="H10">
        <v>0</v>
      </c>
      <c r="I10" t="str">
        <f t="shared" ca="1" si="2"/>
        <v>splňuje</v>
      </c>
      <c r="J10" t="str">
        <f t="shared" ca="1" si="3"/>
        <v>víc než 20</v>
      </c>
      <c r="K10" t="s">
        <v>381</v>
      </c>
      <c r="L10">
        <f t="shared" si="4"/>
        <v>2</v>
      </c>
      <c r="M10" t="s">
        <v>390</v>
      </c>
      <c r="N10">
        <f t="shared" si="5"/>
        <v>1</v>
      </c>
      <c r="O10" t="str">
        <f t="shared" si="6"/>
        <v>nesplňuje</v>
      </c>
      <c r="P10" t="s">
        <v>382</v>
      </c>
      <c r="Q10" t="s">
        <v>383</v>
      </c>
      <c r="R10" t="s">
        <v>394</v>
      </c>
      <c r="S10">
        <v>13166</v>
      </c>
    </row>
    <row r="11" spans="1:19" x14ac:dyDescent="0.3">
      <c r="A11" s="82" t="s">
        <v>395</v>
      </c>
      <c r="B11" s="82" t="s">
        <v>266</v>
      </c>
      <c r="C11" s="82" t="s">
        <v>387</v>
      </c>
      <c r="D11" s="83">
        <v>22951</v>
      </c>
      <c r="E11">
        <f t="shared" ca="1" si="0"/>
        <v>60</v>
      </c>
      <c r="F11" s="83">
        <v>33301</v>
      </c>
      <c r="G11">
        <f t="shared" ca="1" si="1"/>
        <v>31</v>
      </c>
      <c r="H11">
        <v>10</v>
      </c>
      <c r="I11" t="str">
        <f t="shared" ca="1" si="2"/>
        <v>splňuje</v>
      </c>
      <c r="J11" t="str">
        <f t="shared" ca="1" si="3"/>
        <v>víc než 20</v>
      </c>
      <c r="K11" t="s">
        <v>381</v>
      </c>
      <c r="L11">
        <f t="shared" si="4"/>
        <v>2</v>
      </c>
      <c r="M11" t="s">
        <v>381</v>
      </c>
      <c r="N11">
        <f t="shared" si="5"/>
        <v>2</v>
      </c>
      <c r="O11" t="str">
        <f t="shared" si="6"/>
        <v>splňuje</v>
      </c>
      <c r="P11" t="s">
        <v>382</v>
      </c>
      <c r="Q11" t="s">
        <v>383</v>
      </c>
      <c r="R11" t="s">
        <v>396</v>
      </c>
      <c r="S11">
        <v>14363</v>
      </c>
    </row>
    <row r="12" spans="1:19" x14ac:dyDescent="0.3">
      <c r="A12" s="82" t="s">
        <v>397</v>
      </c>
      <c r="B12" s="82" t="s">
        <v>398</v>
      </c>
      <c r="C12" s="82" t="s">
        <v>380</v>
      </c>
      <c r="D12" s="83">
        <v>21102</v>
      </c>
      <c r="E12">
        <f t="shared" ca="1" si="0"/>
        <v>65</v>
      </c>
      <c r="F12" s="83">
        <v>32494</v>
      </c>
      <c r="G12">
        <f t="shared" ca="1" si="1"/>
        <v>34</v>
      </c>
      <c r="H12">
        <v>2</v>
      </c>
      <c r="I12" t="str">
        <f t="shared" ca="1" si="2"/>
        <v>splňuje</v>
      </c>
      <c r="J12" t="str">
        <f t="shared" ca="1" si="3"/>
        <v>víc než 20</v>
      </c>
      <c r="K12" t="s">
        <v>399</v>
      </c>
      <c r="L12">
        <f t="shared" si="4"/>
        <v>3</v>
      </c>
      <c r="M12" t="s">
        <v>381</v>
      </c>
      <c r="N12">
        <f t="shared" si="5"/>
        <v>2</v>
      </c>
      <c r="O12" t="str">
        <f t="shared" si="6"/>
        <v>nesplňuje</v>
      </c>
      <c r="P12" t="s">
        <v>382</v>
      </c>
      <c r="Q12" t="s">
        <v>383</v>
      </c>
      <c r="R12" t="s">
        <v>400</v>
      </c>
      <c r="S12">
        <v>11549</v>
      </c>
    </row>
    <row r="13" spans="1:19" x14ac:dyDescent="0.3">
      <c r="A13" s="82" t="s">
        <v>401</v>
      </c>
      <c r="B13" s="82" t="s">
        <v>195</v>
      </c>
      <c r="C13" s="82" t="s">
        <v>387</v>
      </c>
      <c r="D13" s="83">
        <v>20353</v>
      </c>
      <c r="E13">
        <f t="shared" ca="1" si="0"/>
        <v>67</v>
      </c>
      <c r="F13" s="83">
        <v>32130</v>
      </c>
      <c r="G13">
        <f t="shared" ca="1" si="1"/>
        <v>35</v>
      </c>
      <c r="H13">
        <v>0</v>
      </c>
      <c r="I13" t="str">
        <f t="shared" ca="1" si="2"/>
        <v>splňuje</v>
      </c>
      <c r="J13" t="str">
        <f t="shared" ca="1" si="3"/>
        <v>víc než 20</v>
      </c>
      <c r="K13" t="s">
        <v>381</v>
      </c>
      <c r="L13">
        <f t="shared" si="4"/>
        <v>2</v>
      </c>
      <c r="M13" t="s">
        <v>381</v>
      </c>
      <c r="N13">
        <f t="shared" si="5"/>
        <v>2</v>
      </c>
      <c r="O13" t="str">
        <f t="shared" si="6"/>
        <v>splňuje</v>
      </c>
      <c r="P13" t="s">
        <v>382</v>
      </c>
      <c r="Q13" t="s">
        <v>383</v>
      </c>
      <c r="R13" t="s">
        <v>402</v>
      </c>
      <c r="S13">
        <v>12277</v>
      </c>
    </row>
    <row r="14" spans="1:19" x14ac:dyDescent="0.3">
      <c r="A14" s="82" t="s">
        <v>403</v>
      </c>
      <c r="B14" s="82" t="s">
        <v>404</v>
      </c>
      <c r="C14" s="82" t="s">
        <v>387</v>
      </c>
      <c r="D14" s="83">
        <v>19633</v>
      </c>
      <c r="E14">
        <f t="shared" ca="1" si="0"/>
        <v>69</v>
      </c>
      <c r="F14" s="83">
        <v>27062</v>
      </c>
      <c r="G14">
        <f t="shared" ca="1" si="1"/>
        <v>49</v>
      </c>
      <c r="H14">
        <v>10</v>
      </c>
      <c r="I14" t="str">
        <f t="shared" ca="1" si="2"/>
        <v>splňuje</v>
      </c>
      <c r="J14" t="str">
        <f t="shared" ca="1" si="3"/>
        <v>víc než 20</v>
      </c>
      <c r="K14" t="s">
        <v>399</v>
      </c>
      <c r="L14">
        <f t="shared" si="4"/>
        <v>3</v>
      </c>
      <c r="M14" t="s">
        <v>399</v>
      </c>
      <c r="N14">
        <f t="shared" si="5"/>
        <v>3</v>
      </c>
      <c r="O14" t="str">
        <f t="shared" si="6"/>
        <v>splňuje</v>
      </c>
      <c r="P14" t="s">
        <v>382</v>
      </c>
      <c r="Q14" t="s">
        <v>405</v>
      </c>
      <c r="R14" t="s">
        <v>406</v>
      </c>
      <c r="S14">
        <v>11305</v>
      </c>
    </row>
    <row r="15" spans="1:19" x14ac:dyDescent="0.3">
      <c r="A15" s="82" t="s">
        <v>407</v>
      </c>
      <c r="B15" s="82" t="s">
        <v>408</v>
      </c>
      <c r="C15" s="82" t="s">
        <v>387</v>
      </c>
      <c r="D15" s="83">
        <v>16443</v>
      </c>
      <c r="E15">
        <f t="shared" ca="1" si="0"/>
        <v>78</v>
      </c>
      <c r="F15" s="83">
        <v>28660</v>
      </c>
      <c r="G15">
        <f t="shared" ca="1" si="1"/>
        <v>44</v>
      </c>
      <c r="H15">
        <v>8</v>
      </c>
      <c r="I15" t="str">
        <f t="shared" ca="1" si="2"/>
        <v>splňuje</v>
      </c>
      <c r="J15" t="str">
        <f t="shared" ca="1" si="3"/>
        <v>víc než 20</v>
      </c>
      <c r="K15" t="s">
        <v>381</v>
      </c>
      <c r="L15">
        <f t="shared" si="4"/>
        <v>2</v>
      </c>
      <c r="M15" t="s">
        <v>381</v>
      </c>
      <c r="N15">
        <f t="shared" si="5"/>
        <v>2</v>
      </c>
      <c r="O15" t="str">
        <f t="shared" si="6"/>
        <v>splňuje</v>
      </c>
      <c r="P15" t="s">
        <v>382</v>
      </c>
      <c r="Q15" t="s">
        <v>383</v>
      </c>
      <c r="R15" t="s">
        <v>409</v>
      </c>
      <c r="S15">
        <v>11921</v>
      </c>
    </row>
    <row r="16" spans="1:19" x14ac:dyDescent="0.3">
      <c r="A16" s="82" t="s">
        <v>410</v>
      </c>
      <c r="B16" s="82" t="s">
        <v>195</v>
      </c>
      <c r="C16" s="82" t="s">
        <v>387</v>
      </c>
      <c r="D16" s="83">
        <v>15681</v>
      </c>
      <c r="E16">
        <f t="shared" ca="1" si="0"/>
        <v>80</v>
      </c>
      <c r="F16" s="83">
        <v>35911</v>
      </c>
      <c r="G16">
        <f t="shared" ca="1" si="1"/>
        <v>24</v>
      </c>
      <c r="H16">
        <v>8</v>
      </c>
      <c r="I16" t="str">
        <f t="shared" ca="1" si="2"/>
        <v>splňuje</v>
      </c>
      <c r="J16" t="str">
        <f t="shared" ca="1" si="3"/>
        <v>víc než 20</v>
      </c>
      <c r="K16" t="s">
        <v>381</v>
      </c>
      <c r="L16">
        <f t="shared" si="4"/>
        <v>2</v>
      </c>
      <c r="M16" t="s">
        <v>381</v>
      </c>
      <c r="N16">
        <f t="shared" si="5"/>
        <v>2</v>
      </c>
      <c r="O16" t="str">
        <f t="shared" si="6"/>
        <v>splňuje</v>
      </c>
      <c r="P16" t="s">
        <v>382</v>
      </c>
      <c r="Q16" t="s">
        <v>383</v>
      </c>
      <c r="R16" t="s">
        <v>411</v>
      </c>
      <c r="S16">
        <v>12284</v>
      </c>
    </row>
    <row r="17" spans="1:19" x14ac:dyDescent="0.3">
      <c r="A17" s="82" t="s">
        <v>412</v>
      </c>
      <c r="B17" s="82" t="s">
        <v>413</v>
      </c>
      <c r="C17" s="82" t="s">
        <v>387</v>
      </c>
      <c r="D17" s="83">
        <v>26239</v>
      </c>
      <c r="E17">
        <f t="shared" ca="1" si="0"/>
        <v>51</v>
      </c>
      <c r="F17" s="83">
        <v>35241</v>
      </c>
      <c r="G17">
        <f t="shared" ca="1" si="1"/>
        <v>26</v>
      </c>
      <c r="H17">
        <v>10</v>
      </c>
      <c r="I17" t="str">
        <f t="shared" ca="1" si="2"/>
        <v>splňuje</v>
      </c>
      <c r="J17" t="str">
        <f t="shared" ca="1" si="3"/>
        <v>víc než 20</v>
      </c>
      <c r="K17" t="s">
        <v>381</v>
      </c>
      <c r="L17">
        <f t="shared" si="4"/>
        <v>2</v>
      </c>
      <c r="M17" t="s">
        <v>381</v>
      </c>
      <c r="N17">
        <f t="shared" si="5"/>
        <v>2</v>
      </c>
      <c r="O17" t="str">
        <f t="shared" si="6"/>
        <v>splňuje</v>
      </c>
      <c r="P17" t="s">
        <v>414</v>
      </c>
      <c r="Q17" t="s">
        <v>383</v>
      </c>
      <c r="R17" t="s">
        <v>396</v>
      </c>
      <c r="S17">
        <v>9437</v>
      </c>
    </row>
    <row r="18" spans="1:19" x14ac:dyDescent="0.3">
      <c r="A18" s="82" t="s">
        <v>415</v>
      </c>
      <c r="B18" s="82" t="s">
        <v>416</v>
      </c>
      <c r="C18" s="82" t="s">
        <v>380</v>
      </c>
      <c r="D18" s="83">
        <v>26439</v>
      </c>
      <c r="E18">
        <f t="shared" ca="1" si="0"/>
        <v>50</v>
      </c>
      <c r="F18" s="83">
        <v>33790</v>
      </c>
      <c r="G18">
        <f t="shared" ca="1" si="1"/>
        <v>30</v>
      </c>
      <c r="H18">
        <v>0</v>
      </c>
      <c r="I18" t="str">
        <f t="shared" ca="1" si="2"/>
        <v>splňuje</v>
      </c>
      <c r="J18" t="str">
        <f t="shared" ca="1" si="3"/>
        <v>víc než 20</v>
      </c>
      <c r="K18" t="s">
        <v>390</v>
      </c>
      <c r="L18">
        <f t="shared" si="4"/>
        <v>1</v>
      </c>
      <c r="M18" t="s">
        <v>390</v>
      </c>
      <c r="N18">
        <f t="shared" si="5"/>
        <v>1</v>
      </c>
      <c r="O18" t="str">
        <f t="shared" si="6"/>
        <v>splňuje</v>
      </c>
      <c r="P18" t="s">
        <v>414</v>
      </c>
      <c r="Q18" t="s">
        <v>383</v>
      </c>
      <c r="R18" t="s">
        <v>391</v>
      </c>
      <c r="S18">
        <v>10434</v>
      </c>
    </row>
    <row r="19" spans="1:19" x14ac:dyDescent="0.3">
      <c r="A19" s="82" t="s">
        <v>417</v>
      </c>
      <c r="B19" s="82" t="s">
        <v>418</v>
      </c>
      <c r="C19" s="82" t="s">
        <v>387</v>
      </c>
      <c r="D19" s="83">
        <v>24780</v>
      </c>
      <c r="E19">
        <f t="shared" ca="1" si="0"/>
        <v>55</v>
      </c>
      <c r="F19" s="83">
        <v>35867</v>
      </c>
      <c r="G19">
        <f t="shared" ca="1" si="1"/>
        <v>24</v>
      </c>
      <c r="H19">
        <v>0</v>
      </c>
      <c r="I19" t="str">
        <f t="shared" ca="1" si="2"/>
        <v>splňuje</v>
      </c>
      <c r="J19" t="str">
        <f t="shared" ca="1" si="3"/>
        <v>víc než 20</v>
      </c>
      <c r="K19" t="s">
        <v>381</v>
      </c>
      <c r="L19">
        <f t="shared" si="4"/>
        <v>2</v>
      </c>
      <c r="M19" t="s">
        <v>381</v>
      </c>
      <c r="N19">
        <f t="shared" si="5"/>
        <v>2</v>
      </c>
      <c r="O19" t="str">
        <f t="shared" si="6"/>
        <v>splňuje</v>
      </c>
      <c r="P19" t="s">
        <v>414</v>
      </c>
      <c r="Q19" t="s">
        <v>383</v>
      </c>
      <c r="R19" t="s">
        <v>402</v>
      </c>
      <c r="S19">
        <v>8032</v>
      </c>
    </row>
    <row r="20" spans="1:19" x14ac:dyDescent="0.3">
      <c r="A20" s="82" t="s">
        <v>419</v>
      </c>
      <c r="B20" s="82" t="s">
        <v>386</v>
      </c>
      <c r="C20" s="82" t="s">
        <v>387</v>
      </c>
      <c r="D20" s="83">
        <v>24510</v>
      </c>
      <c r="E20">
        <f t="shared" ca="1" si="0"/>
        <v>56</v>
      </c>
      <c r="F20" s="83">
        <v>34633</v>
      </c>
      <c r="G20">
        <f t="shared" ca="1" si="1"/>
        <v>28</v>
      </c>
      <c r="H20">
        <v>4</v>
      </c>
      <c r="I20" t="str">
        <f t="shared" ca="1" si="2"/>
        <v>splňuje</v>
      </c>
      <c r="J20" t="str">
        <f t="shared" ca="1" si="3"/>
        <v>víc než 20</v>
      </c>
      <c r="K20" t="s">
        <v>381</v>
      </c>
      <c r="L20">
        <f t="shared" si="4"/>
        <v>2</v>
      </c>
      <c r="M20" t="s">
        <v>381</v>
      </c>
      <c r="N20">
        <f t="shared" si="5"/>
        <v>2</v>
      </c>
      <c r="O20" t="str">
        <f t="shared" si="6"/>
        <v>splňuje</v>
      </c>
      <c r="P20" t="s">
        <v>414</v>
      </c>
      <c r="Q20" t="s">
        <v>383</v>
      </c>
      <c r="R20" t="s">
        <v>384</v>
      </c>
      <c r="S20">
        <v>9450</v>
      </c>
    </row>
    <row r="21" spans="1:19" x14ac:dyDescent="0.3">
      <c r="A21" s="82" t="s">
        <v>420</v>
      </c>
      <c r="B21" s="82" t="s">
        <v>421</v>
      </c>
      <c r="C21" s="82" t="s">
        <v>380</v>
      </c>
      <c r="D21" s="83">
        <v>23611</v>
      </c>
      <c r="E21">
        <f t="shared" ca="1" si="0"/>
        <v>58</v>
      </c>
      <c r="F21" s="83">
        <v>33592</v>
      </c>
      <c r="G21">
        <f t="shared" ca="1" si="1"/>
        <v>31</v>
      </c>
      <c r="H21">
        <v>2</v>
      </c>
      <c r="I21" t="str">
        <f t="shared" ca="1" si="2"/>
        <v>splňuje</v>
      </c>
      <c r="J21" t="str">
        <f t="shared" ca="1" si="3"/>
        <v>víc než 20</v>
      </c>
      <c r="K21" t="s">
        <v>381</v>
      </c>
      <c r="L21">
        <f t="shared" si="4"/>
        <v>2</v>
      </c>
      <c r="M21" t="s">
        <v>381</v>
      </c>
      <c r="N21">
        <f t="shared" si="5"/>
        <v>2</v>
      </c>
      <c r="O21" t="str">
        <f t="shared" si="6"/>
        <v>splňuje</v>
      </c>
      <c r="P21" t="s">
        <v>414</v>
      </c>
      <c r="Q21" t="s">
        <v>383</v>
      </c>
      <c r="R21" t="s">
        <v>400</v>
      </c>
      <c r="S21">
        <v>9335</v>
      </c>
    </row>
    <row r="22" spans="1:19" x14ac:dyDescent="0.3">
      <c r="A22" s="82" t="s">
        <v>422</v>
      </c>
      <c r="B22" s="82" t="s">
        <v>423</v>
      </c>
      <c r="C22" s="82" t="s">
        <v>387</v>
      </c>
      <c r="D22" s="83">
        <v>23020</v>
      </c>
      <c r="E22">
        <f t="shared" ca="1" si="0"/>
        <v>60</v>
      </c>
      <c r="F22" s="83">
        <v>34764</v>
      </c>
      <c r="G22">
        <f t="shared" ca="1" si="1"/>
        <v>27</v>
      </c>
      <c r="H22">
        <v>8</v>
      </c>
      <c r="I22" t="str">
        <f t="shared" ca="1" si="2"/>
        <v>splňuje</v>
      </c>
      <c r="J22" t="str">
        <f t="shared" ca="1" si="3"/>
        <v>víc než 20</v>
      </c>
      <c r="K22" t="s">
        <v>381</v>
      </c>
      <c r="L22">
        <f t="shared" si="4"/>
        <v>2</v>
      </c>
      <c r="M22" t="s">
        <v>381</v>
      </c>
      <c r="N22">
        <f t="shared" si="5"/>
        <v>2</v>
      </c>
      <c r="O22" t="str">
        <f t="shared" si="6"/>
        <v>splňuje</v>
      </c>
      <c r="P22" t="s">
        <v>414</v>
      </c>
      <c r="Q22" t="s">
        <v>383</v>
      </c>
      <c r="R22" t="s">
        <v>411</v>
      </c>
      <c r="S22">
        <v>10432</v>
      </c>
    </row>
    <row r="23" spans="1:19" x14ac:dyDescent="0.3">
      <c r="A23" s="82" t="s">
        <v>424</v>
      </c>
      <c r="B23" s="82" t="s">
        <v>425</v>
      </c>
      <c r="C23" s="82" t="s">
        <v>387</v>
      </c>
      <c r="D23" s="83">
        <v>21801</v>
      </c>
      <c r="E23">
        <f t="shared" ca="1" si="0"/>
        <v>63</v>
      </c>
      <c r="F23" s="83">
        <v>34592</v>
      </c>
      <c r="G23">
        <f t="shared" ca="1" si="1"/>
        <v>28</v>
      </c>
      <c r="H23">
        <v>10</v>
      </c>
      <c r="I23" t="str">
        <f t="shared" ca="1" si="2"/>
        <v>splňuje</v>
      </c>
      <c r="J23" t="str">
        <f t="shared" ca="1" si="3"/>
        <v>víc než 20</v>
      </c>
      <c r="K23" t="s">
        <v>399</v>
      </c>
      <c r="L23">
        <f t="shared" si="4"/>
        <v>3</v>
      </c>
      <c r="M23" t="s">
        <v>399</v>
      </c>
      <c r="N23">
        <f t="shared" si="5"/>
        <v>3</v>
      </c>
      <c r="O23" t="str">
        <f t="shared" si="6"/>
        <v>splňuje</v>
      </c>
      <c r="P23" t="s">
        <v>414</v>
      </c>
      <c r="Q23" t="s">
        <v>405</v>
      </c>
      <c r="R23" t="s">
        <v>406</v>
      </c>
      <c r="S23">
        <v>9157</v>
      </c>
    </row>
    <row r="24" spans="1:19" x14ac:dyDescent="0.3">
      <c r="A24" s="82" t="s">
        <v>426</v>
      </c>
      <c r="B24" s="82" t="s">
        <v>268</v>
      </c>
      <c r="C24" s="82" t="s">
        <v>380</v>
      </c>
      <c r="D24" s="83">
        <v>20447</v>
      </c>
      <c r="E24">
        <f t="shared" ca="1" si="0"/>
        <v>67</v>
      </c>
      <c r="F24" s="83">
        <v>32779</v>
      </c>
      <c r="G24">
        <f t="shared" ca="1" si="1"/>
        <v>33</v>
      </c>
      <c r="H24">
        <v>0</v>
      </c>
      <c r="I24" t="str">
        <f t="shared" ca="1" si="2"/>
        <v>splňuje</v>
      </c>
      <c r="J24" t="str">
        <f t="shared" ca="1" si="3"/>
        <v>víc než 20</v>
      </c>
      <c r="K24" t="s">
        <v>381</v>
      </c>
      <c r="L24">
        <f t="shared" si="4"/>
        <v>2</v>
      </c>
      <c r="M24" t="s">
        <v>390</v>
      </c>
      <c r="N24">
        <f t="shared" si="5"/>
        <v>1</v>
      </c>
      <c r="O24" t="str">
        <f t="shared" si="6"/>
        <v>nesplňuje</v>
      </c>
      <c r="P24" t="s">
        <v>414</v>
      </c>
      <c r="Q24" t="s">
        <v>383</v>
      </c>
      <c r="R24" t="s">
        <v>394</v>
      </c>
      <c r="S24">
        <v>13991</v>
      </c>
    </row>
    <row r="25" spans="1:19" x14ac:dyDescent="0.3">
      <c r="A25" s="82" t="s">
        <v>427</v>
      </c>
      <c r="B25" s="82" t="s">
        <v>266</v>
      </c>
      <c r="C25" s="82" t="s">
        <v>387</v>
      </c>
      <c r="D25" s="83">
        <v>20558</v>
      </c>
      <c r="E25">
        <f t="shared" ca="1" si="0"/>
        <v>66</v>
      </c>
      <c r="F25" s="83">
        <v>34556</v>
      </c>
      <c r="G25">
        <f t="shared" ca="1" si="1"/>
        <v>28</v>
      </c>
      <c r="H25">
        <v>8</v>
      </c>
      <c r="I25" t="str">
        <f t="shared" ca="1" si="2"/>
        <v>splňuje</v>
      </c>
      <c r="J25" t="str">
        <f t="shared" ca="1" si="3"/>
        <v>víc než 20</v>
      </c>
      <c r="K25" t="s">
        <v>381</v>
      </c>
      <c r="L25">
        <f t="shared" si="4"/>
        <v>2</v>
      </c>
      <c r="M25" t="s">
        <v>381</v>
      </c>
      <c r="N25">
        <f t="shared" si="5"/>
        <v>2</v>
      </c>
      <c r="O25" t="str">
        <f t="shared" si="6"/>
        <v>splňuje</v>
      </c>
      <c r="P25" t="s">
        <v>414</v>
      </c>
      <c r="Q25" t="s">
        <v>383</v>
      </c>
      <c r="R25" t="s">
        <v>409</v>
      </c>
      <c r="S25">
        <v>12987</v>
      </c>
    </row>
    <row r="26" spans="1:19" x14ac:dyDescent="0.3">
      <c r="A26" s="82" t="s">
        <v>428</v>
      </c>
      <c r="B26" s="82" t="s">
        <v>429</v>
      </c>
      <c r="C26" s="82" t="s">
        <v>387</v>
      </c>
      <c r="D26" s="83">
        <v>14759</v>
      </c>
      <c r="E26">
        <f t="shared" ca="1" si="0"/>
        <v>82</v>
      </c>
      <c r="F26" s="83">
        <v>26918</v>
      </c>
      <c r="G26">
        <f t="shared" ca="1" si="1"/>
        <v>49</v>
      </c>
      <c r="H26">
        <v>8</v>
      </c>
      <c r="I26" t="str">
        <f t="shared" ca="1" si="2"/>
        <v>splňuje</v>
      </c>
      <c r="J26" t="str">
        <f t="shared" ca="1" si="3"/>
        <v>víc než 20</v>
      </c>
      <c r="K26" t="s">
        <v>381</v>
      </c>
      <c r="L26">
        <f t="shared" si="4"/>
        <v>2</v>
      </c>
      <c r="M26" t="s">
        <v>381</v>
      </c>
      <c r="N26">
        <f t="shared" si="5"/>
        <v>2</v>
      </c>
      <c r="O26" t="str">
        <f t="shared" si="6"/>
        <v>splňuje</v>
      </c>
      <c r="P26" t="s">
        <v>414</v>
      </c>
      <c r="Q26" t="s">
        <v>383</v>
      </c>
      <c r="R26" t="s">
        <v>388</v>
      </c>
      <c r="S26">
        <v>10211</v>
      </c>
    </row>
    <row r="27" spans="1:19" x14ac:dyDescent="0.3">
      <c r="A27" s="82" t="s">
        <v>430</v>
      </c>
      <c r="B27" s="82" t="s">
        <v>269</v>
      </c>
      <c r="C27" s="82" t="s">
        <v>387</v>
      </c>
      <c r="D27" s="83">
        <v>26922</v>
      </c>
      <c r="E27">
        <f t="shared" ca="1" si="0"/>
        <v>49</v>
      </c>
      <c r="F27" s="83">
        <v>35557</v>
      </c>
      <c r="G27">
        <f t="shared" ca="1" si="1"/>
        <v>25</v>
      </c>
      <c r="H27">
        <v>10</v>
      </c>
      <c r="I27" t="str">
        <f t="shared" ca="1" si="2"/>
        <v>splňuje</v>
      </c>
      <c r="J27" t="str">
        <f t="shared" ca="1" si="3"/>
        <v>víc než 20</v>
      </c>
      <c r="K27" t="s">
        <v>381</v>
      </c>
      <c r="L27">
        <f t="shared" si="4"/>
        <v>2</v>
      </c>
      <c r="M27" t="s">
        <v>381</v>
      </c>
      <c r="N27">
        <f t="shared" si="5"/>
        <v>2</v>
      </c>
      <c r="O27" t="str">
        <f t="shared" si="6"/>
        <v>splňuje</v>
      </c>
      <c r="P27" t="s">
        <v>431</v>
      </c>
      <c r="Q27" t="s">
        <v>383</v>
      </c>
      <c r="R27" t="s">
        <v>396</v>
      </c>
      <c r="S27">
        <v>8929</v>
      </c>
    </row>
    <row r="28" spans="1:19" x14ac:dyDescent="0.3">
      <c r="A28" s="82" t="s">
        <v>432</v>
      </c>
      <c r="B28" s="82" t="s">
        <v>386</v>
      </c>
      <c r="C28" s="82" t="s">
        <v>387</v>
      </c>
      <c r="D28" s="83">
        <v>26456</v>
      </c>
      <c r="E28">
        <f t="shared" ca="1" si="0"/>
        <v>50</v>
      </c>
      <c r="F28" s="83">
        <v>35737</v>
      </c>
      <c r="G28">
        <f t="shared" ca="1" si="1"/>
        <v>25</v>
      </c>
      <c r="H28">
        <v>4</v>
      </c>
      <c r="I28" t="str">
        <f t="shared" ca="1" si="2"/>
        <v>splňuje</v>
      </c>
      <c r="J28" t="str">
        <f t="shared" ca="1" si="3"/>
        <v>víc než 20</v>
      </c>
      <c r="K28" t="s">
        <v>381</v>
      </c>
      <c r="L28">
        <f t="shared" si="4"/>
        <v>2</v>
      </c>
      <c r="M28" t="s">
        <v>381</v>
      </c>
      <c r="N28">
        <f t="shared" si="5"/>
        <v>2</v>
      </c>
      <c r="O28" t="str">
        <f t="shared" si="6"/>
        <v>splňuje</v>
      </c>
      <c r="P28" t="s">
        <v>431</v>
      </c>
      <c r="Q28" t="s">
        <v>383</v>
      </c>
      <c r="R28" t="s">
        <v>384</v>
      </c>
      <c r="S28">
        <v>11531</v>
      </c>
    </row>
    <row r="29" spans="1:19" x14ac:dyDescent="0.3">
      <c r="A29" s="82" t="s">
        <v>433</v>
      </c>
      <c r="B29" s="82" t="s">
        <v>434</v>
      </c>
      <c r="C29" s="82" t="s">
        <v>380</v>
      </c>
      <c r="D29" s="83">
        <v>24569</v>
      </c>
      <c r="E29">
        <f t="shared" ca="1" si="0"/>
        <v>55</v>
      </c>
      <c r="F29" s="83">
        <v>33967</v>
      </c>
      <c r="G29">
        <f t="shared" ca="1" si="1"/>
        <v>30</v>
      </c>
      <c r="H29">
        <v>2</v>
      </c>
      <c r="I29" t="str">
        <f t="shared" ca="1" si="2"/>
        <v>splňuje</v>
      </c>
      <c r="J29" t="str">
        <f t="shared" ca="1" si="3"/>
        <v>víc než 20</v>
      </c>
      <c r="K29" t="s">
        <v>381</v>
      </c>
      <c r="L29">
        <f t="shared" si="4"/>
        <v>2</v>
      </c>
      <c r="M29" t="s">
        <v>381</v>
      </c>
      <c r="N29">
        <f t="shared" si="5"/>
        <v>2</v>
      </c>
      <c r="O29" t="str">
        <f t="shared" si="6"/>
        <v>splňuje</v>
      </c>
      <c r="P29" t="s">
        <v>431</v>
      </c>
      <c r="Q29" t="s">
        <v>383</v>
      </c>
      <c r="R29" t="s">
        <v>400</v>
      </c>
      <c r="S29">
        <v>13158</v>
      </c>
    </row>
    <row r="30" spans="1:19" x14ac:dyDescent="0.3">
      <c r="A30" s="82" t="s">
        <v>435</v>
      </c>
      <c r="B30" s="82" t="s">
        <v>423</v>
      </c>
      <c r="C30" s="82" t="s">
        <v>387</v>
      </c>
      <c r="D30" s="83">
        <v>22492</v>
      </c>
      <c r="E30">
        <f t="shared" ca="1" si="0"/>
        <v>61</v>
      </c>
      <c r="F30" s="83">
        <v>32731</v>
      </c>
      <c r="G30">
        <f t="shared" ca="1" si="1"/>
        <v>33</v>
      </c>
      <c r="H30">
        <v>8</v>
      </c>
      <c r="I30" t="str">
        <f t="shared" ca="1" si="2"/>
        <v>splňuje</v>
      </c>
      <c r="J30" t="str">
        <f t="shared" ca="1" si="3"/>
        <v>víc než 20</v>
      </c>
      <c r="K30" t="s">
        <v>381</v>
      </c>
      <c r="L30">
        <f t="shared" si="4"/>
        <v>2</v>
      </c>
      <c r="M30" t="s">
        <v>381</v>
      </c>
      <c r="N30">
        <f t="shared" si="5"/>
        <v>2</v>
      </c>
      <c r="O30" t="str">
        <f t="shared" si="6"/>
        <v>splňuje</v>
      </c>
      <c r="P30" t="s">
        <v>431</v>
      </c>
      <c r="Q30" t="s">
        <v>383</v>
      </c>
      <c r="R30" t="s">
        <v>411</v>
      </c>
      <c r="S30">
        <v>11634</v>
      </c>
    </row>
    <row r="31" spans="1:19" x14ac:dyDescent="0.3">
      <c r="A31" s="82" t="s">
        <v>436</v>
      </c>
      <c r="B31" s="82" t="s">
        <v>195</v>
      </c>
      <c r="C31" s="82" t="s">
        <v>387</v>
      </c>
      <c r="D31" s="83">
        <v>21711</v>
      </c>
      <c r="E31">
        <f t="shared" ca="1" si="0"/>
        <v>63</v>
      </c>
      <c r="F31" s="83">
        <v>29707</v>
      </c>
      <c r="G31">
        <f t="shared" ca="1" si="1"/>
        <v>41</v>
      </c>
      <c r="H31">
        <v>8</v>
      </c>
      <c r="I31" t="str">
        <f t="shared" ca="1" si="2"/>
        <v>splňuje</v>
      </c>
      <c r="J31" t="str">
        <f t="shared" ca="1" si="3"/>
        <v>víc než 20</v>
      </c>
      <c r="K31" t="s">
        <v>381</v>
      </c>
      <c r="L31">
        <f t="shared" si="4"/>
        <v>2</v>
      </c>
      <c r="M31" t="s">
        <v>381</v>
      </c>
      <c r="N31">
        <f t="shared" si="5"/>
        <v>2</v>
      </c>
      <c r="O31" t="str">
        <f t="shared" si="6"/>
        <v>splňuje</v>
      </c>
      <c r="P31" t="s">
        <v>431</v>
      </c>
      <c r="Q31" t="s">
        <v>383</v>
      </c>
      <c r="R31" t="s">
        <v>409</v>
      </c>
      <c r="S31">
        <v>12446</v>
      </c>
    </row>
    <row r="32" spans="1:19" x14ac:dyDescent="0.3">
      <c r="A32" s="82" t="s">
        <v>437</v>
      </c>
      <c r="B32" s="82" t="s">
        <v>438</v>
      </c>
      <c r="C32" s="82" t="s">
        <v>387</v>
      </c>
      <c r="D32" s="83">
        <v>21058</v>
      </c>
      <c r="E32">
        <f t="shared" ca="1" si="0"/>
        <v>65</v>
      </c>
      <c r="F32" s="83">
        <v>31177</v>
      </c>
      <c r="G32">
        <f t="shared" ca="1" si="1"/>
        <v>37</v>
      </c>
      <c r="H32">
        <v>0</v>
      </c>
      <c r="I32" t="str">
        <f t="shared" ca="1" si="2"/>
        <v>splňuje</v>
      </c>
      <c r="J32" t="str">
        <f t="shared" ca="1" si="3"/>
        <v>víc než 20</v>
      </c>
      <c r="K32" t="s">
        <v>381</v>
      </c>
      <c r="L32">
        <f t="shared" si="4"/>
        <v>2</v>
      </c>
      <c r="M32" t="s">
        <v>381</v>
      </c>
      <c r="N32">
        <f t="shared" si="5"/>
        <v>2</v>
      </c>
      <c r="O32" t="str">
        <f t="shared" si="6"/>
        <v>splňuje</v>
      </c>
      <c r="P32" t="s">
        <v>431</v>
      </c>
      <c r="Q32" t="s">
        <v>383</v>
      </c>
      <c r="R32" t="s">
        <v>402</v>
      </c>
      <c r="S32">
        <v>10007</v>
      </c>
    </row>
    <row r="33" spans="1:19" x14ac:dyDescent="0.3">
      <c r="A33" s="82" t="s">
        <v>439</v>
      </c>
      <c r="B33" s="82" t="s">
        <v>440</v>
      </c>
      <c r="C33" s="82" t="s">
        <v>387</v>
      </c>
      <c r="D33" s="83">
        <v>17506</v>
      </c>
      <c r="E33">
        <f t="shared" ca="1" si="0"/>
        <v>75</v>
      </c>
      <c r="F33" s="83">
        <v>27184</v>
      </c>
      <c r="G33">
        <f t="shared" ca="1" si="1"/>
        <v>48</v>
      </c>
      <c r="H33">
        <v>10</v>
      </c>
      <c r="I33" t="str">
        <f t="shared" ca="1" si="2"/>
        <v>splňuje</v>
      </c>
      <c r="J33" t="str">
        <f t="shared" ca="1" si="3"/>
        <v>víc než 20</v>
      </c>
      <c r="K33" t="s">
        <v>399</v>
      </c>
      <c r="L33">
        <f t="shared" si="4"/>
        <v>3</v>
      </c>
      <c r="M33" t="s">
        <v>399</v>
      </c>
      <c r="N33">
        <f t="shared" si="5"/>
        <v>3</v>
      </c>
      <c r="O33" t="str">
        <f t="shared" si="6"/>
        <v>splňuje</v>
      </c>
      <c r="P33" t="s">
        <v>431</v>
      </c>
      <c r="Q33" t="s">
        <v>405</v>
      </c>
      <c r="R33" t="s">
        <v>406</v>
      </c>
      <c r="S33">
        <v>13650</v>
      </c>
    </row>
    <row r="34" spans="1:19" x14ac:dyDescent="0.3">
      <c r="A34" s="82" t="s">
        <v>441</v>
      </c>
      <c r="B34" s="82" t="s">
        <v>386</v>
      </c>
      <c r="C34" s="82" t="s">
        <v>387</v>
      </c>
      <c r="D34" s="83">
        <v>16593</v>
      </c>
      <c r="E34">
        <f t="shared" ca="1" si="0"/>
        <v>77</v>
      </c>
      <c r="F34" s="83">
        <v>34385</v>
      </c>
      <c r="G34">
        <f t="shared" ca="1" si="1"/>
        <v>28</v>
      </c>
      <c r="H34">
        <v>0</v>
      </c>
      <c r="I34" t="str">
        <f t="shared" ca="1" si="2"/>
        <v>splňuje</v>
      </c>
      <c r="J34" t="str">
        <f t="shared" ca="1" si="3"/>
        <v>víc než 20</v>
      </c>
      <c r="K34" t="s">
        <v>390</v>
      </c>
      <c r="L34">
        <f t="shared" si="4"/>
        <v>1</v>
      </c>
      <c r="M34" t="s">
        <v>390</v>
      </c>
      <c r="N34">
        <f t="shared" si="5"/>
        <v>1</v>
      </c>
      <c r="O34" t="str">
        <f t="shared" si="6"/>
        <v>splňuje</v>
      </c>
      <c r="P34" t="s">
        <v>431</v>
      </c>
      <c r="Q34" t="s">
        <v>383</v>
      </c>
      <c r="R34" t="s">
        <v>391</v>
      </c>
      <c r="S34">
        <v>8869</v>
      </c>
    </row>
    <row r="35" spans="1:19" x14ac:dyDescent="0.3">
      <c r="A35" s="82" t="s">
        <v>442</v>
      </c>
      <c r="B35" s="82" t="s">
        <v>271</v>
      </c>
      <c r="C35" s="82" t="s">
        <v>380</v>
      </c>
      <c r="D35" s="83">
        <v>16225</v>
      </c>
      <c r="E35">
        <f t="shared" ca="1" si="0"/>
        <v>78</v>
      </c>
      <c r="F35" s="83">
        <v>30443</v>
      </c>
      <c r="G35">
        <f t="shared" ca="1" si="1"/>
        <v>39</v>
      </c>
      <c r="H35">
        <v>2</v>
      </c>
      <c r="I35" t="str">
        <f t="shared" ca="1" si="2"/>
        <v>splňuje</v>
      </c>
      <c r="J35" t="str">
        <f t="shared" ca="1" si="3"/>
        <v>víc než 20</v>
      </c>
      <c r="K35" t="s">
        <v>381</v>
      </c>
      <c r="L35">
        <f t="shared" si="4"/>
        <v>2</v>
      </c>
      <c r="M35" t="s">
        <v>381</v>
      </c>
      <c r="N35">
        <f t="shared" si="5"/>
        <v>2</v>
      </c>
      <c r="O35" t="str">
        <f t="shared" si="6"/>
        <v>splňuje</v>
      </c>
      <c r="P35" t="s">
        <v>431</v>
      </c>
      <c r="Q35" t="s">
        <v>383</v>
      </c>
      <c r="R35" t="s">
        <v>400</v>
      </c>
      <c r="S35">
        <v>11836</v>
      </c>
    </row>
    <row r="36" spans="1:19" x14ac:dyDescent="0.3">
      <c r="A36" s="82" t="s">
        <v>443</v>
      </c>
      <c r="B36" s="82" t="s">
        <v>444</v>
      </c>
      <c r="C36" s="82" t="s">
        <v>387</v>
      </c>
      <c r="D36" s="83">
        <v>15558</v>
      </c>
      <c r="E36">
        <f t="shared" ca="1" si="0"/>
        <v>80</v>
      </c>
      <c r="F36" s="83">
        <v>23887</v>
      </c>
      <c r="G36">
        <f t="shared" ca="1" si="1"/>
        <v>57</v>
      </c>
      <c r="H36">
        <v>8</v>
      </c>
      <c r="I36" t="str">
        <f t="shared" ca="1" si="2"/>
        <v>splňuje</v>
      </c>
      <c r="J36" t="str">
        <f t="shared" ca="1" si="3"/>
        <v>víc než 20</v>
      </c>
      <c r="K36" t="s">
        <v>381</v>
      </c>
      <c r="L36">
        <f t="shared" si="4"/>
        <v>2</v>
      </c>
      <c r="M36" t="s">
        <v>381</v>
      </c>
      <c r="N36">
        <f t="shared" si="5"/>
        <v>2</v>
      </c>
      <c r="O36" t="str">
        <f t="shared" si="6"/>
        <v>splňuje</v>
      </c>
      <c r="P36" t="s">
        <v>431</v>
      </c>
      <c r="Q36" t="s">
        <v>383</v>
      </c>
      <c r="R36" t="s">
        <v>388</v>
      </c>
      <c r="S36">
        <v>8652</v>
      </c>
    </row>
    <row r="37" spans="1:19" x14ac:dyDescent="0.3">
      <c r="A37" s="82" t="s">
        <v>445</v>
      </c>
      <c r="B37" s="82" t="s">
        <v>274</v>
      </c>
      <c r="C37" s="82" t="s">
        <v>380</v>
      </c>
      <c r="D37" s="83">
        <v>27771</v>
      </c>
      <c r="E37">
        <f t="shared" ca="1" si="0"/>
        <v>47</v>
      </c>
      <c r="F37" s="83">
        <v>35816</v>
      </c>
      <c r="G37">
        <f t="shared" ca="1" si="1"/>
        <v>25</v>
      </c>
      <c r="H37">
        <v>2</v>
      </c>
      <c r="I37" t="str">
        <f t="shared" ca="1" si="2"/>
        <v>splňuje</v>
      </c>
      <c r="J37" t="str">
        <f t="shared" ca="1" si="3"/>
        <v>víc než 20</v>
      </c>
      <c r="K37" t="s">
        <v>381</v>
      </c>
      <c r="L37">
        <f t="shared" si="4"/>
        <v>2</v>
      </c>
      <c r="M37" t="s">
        <v>381</v>
      </c>
      <c r="N37">
        <f t="shared" si="5"/>
        <v>2</v>
      </c>
      <c r="O37" t="str">
        <f t="shared" si="6"/>
        <v>splňuje</v>
      </c>
      <c r="P37" t="s">
        <v>383</v>
      </c>
      <c r="Q37" t="s">
        <v>383</v>
      </c>
      <c r="R37" t="s">
        <v>400</v>
      </c>
      <c r="S37">
        <v>14507</v>
      </c>
    </row>
    <row r="38" spans="1:19" x14ac:dyDescent="0.3">
      <c r="A38" s="82" t="s">
        <v>446</v>
      </c>
      <c r="B38" s="82" t="s">
        <v>266</v>
      </c>
      <c r="C38" s="82" t="s">
        <v>387</v>
      </c>
      <c r="D38" s="83">
        <v>26288</v>
      </c>
      <c r="E38">
        <f t="shared" ca="1" si="0"/>
        <v>51</v>
      </c>
      <c r="F38" s="83">
        <v>34575</v>
      </c>
      <c r="G38">
        <f t="shared" ca="1" si="1"/>
        <v>28</v>
      </c>
      <c r="H38">
        <v>8</v>
      </c>
      <c r="I38" t="str">
        <f t="shared" ca="1" si="2"/>
        <v>splňuje</v>
      </c>
      <c r="J38" t="str">
        <f t="shared" ca="1" si="3"/>
        <v>víc než 20</v>
      </c>
      <c r="K38" t="s">
        <v>381</v>
      </c>
      <c r="L38">
        <f t="shared" si="4"/>
        <v>2</v>
      </c>
      <c r="M38" t="s">
        <v>381</v>
      </c>
      <c r="N38">
        <f t="shared" si="5"/>
        <v>2</v>
      </c>
      <c r="O38" t="str">
        <f t="shared" si="6"/>
        <v>splňuje</v>
      </c>
      <c r="P38" t="s">
        <v>383</v>
      </c>
      <c r="Q38" t="s">
        <v>383</v>
      </c>
      <c r="R38" t="s">
        <v>388</v>
      </c>
      <c r="S38">
        <v>13034</v>
      </c>
    </row>
    <row r="39" spans="1:19" x14ac:dyDescent="0.3">
      <c r="A39" s="82" t="s">
        <v>447</v>
      </c>
      <c r="B39" s="82" t="s">
        <v>448</v>
      </c>
      <c r="C39" s="82" t="s">
        <v>387</v>
      </c>
      <c r="D39" s="83">
        <v>26047</v>
      </c>
      <c r="E39">
        <f t="shared" ca="1" si="0"/>
        <v>51</v>
      </c>
      <c r="F39" s="83">
        <v>35197</v>
      </c>
      <c r="G39">
        <f t="shared" ca="1" si="1"/>
        <v>26</v>
      </c>
      <c r="H39">
        <v>0</v>
      </c>
      <c r="I39" t="str">
        <f t="shared" ca="1" si="2"/>
        <v>splňuje</v>
      </c>
      <c r="J39" t="str">
        <f t="shared" ca="1" si="3"/>
        <v>víc než 20</v>
      </c>
      <c r="K39" t="s">
        <v>381</v>
      </c>
      <c r="L39">
        <f t="shared" si="4"/>
        <v>2</v>
      </c>
      <c r="M39" t="s">
        <v>381</v>
      </c>
      <c r="N39">
        <f t="shared" si="5"/>
        <v>2</v>
      </c>
      <c r="O39" t="str">
        <f t="shared" si="6"/>
        <v>splňuje</v>
      </c>
      <c r="P39" t="s">
        <v>383</v>
      </c>
      <c r="Q39" t="s">
        <v>383</v>
      </c>
      <c r="R39" t="s">
        <v>402</v>
      </c>
      <c r="S39">
        <v>9228</v>
      </c>
    </row>
    <row r="40" spans="1:19" x14ac:dyDescent="0.3">
      <c r="A40" s="82" t="s">
        <v>449</v>
      </c>
      <c r="B40" s="82" t="s">
        <v>450</v>
      </c>
      <c r="C40" s="82" t="s">
        <v>380</v>
      </c>
      <c r="D40" s="83">
        <v>24116</v>
      </c>
      <c r="E40">
        <f t="shared" ca="1" si="0"/>
        <v>57</v>
      </c>
      <c r="F40" s="83">
        <v>32764</v>
      </c>
      <c r="G40">
        <f t="shared" ca="1" si="1"/>
        <v>33</v>
      </c>
      <c r="H40">
        <v>0</v>
      </c>
      <c r="I40" t="str">
        <f t="shared" ca="1" si="2"/>
        <v>splňuje</v>
      </c>
      <c r="J40" t="str">
        <f t="shared" ca="1" si="3"/>
        <v>víc než 20</v>
      </c>
      <c r="K40" t="s">
        <v>390</v>
      </c>
      <c r="L40">
        <f t="shared" si="4"/>
        <v>1</v>
      </c>
      <c r="M40" t="s">
        <v>390</v>
      </c>
      <c r="N40">
        <f t="shared" si="5"/>
        <v>1</v>
      </c>
      <c r="O40" t="str">
        <f t="shared" si="6"/>
        <v>splňuje</v>
      </c>
      <c r="P40" t="s">
        <v>383</v>
      </c>
      <c r="Q40" t="s">
        <v>383</v>
      </c>
      <c r="R40" t="s">
        <v>391</v>
      </c>
      <c r="S40">
        <v>8852</v>
      </c>
    </row>
    <row r="41" spans="1:19" x14ac:dyDescent="0.3">
      <c r="A41" s="82" t="s">
        <v>451</v>
      </c>
      <c r="B41" s="82" t="s">
        <v>416</v>
      </c>
      <c r="C41" s="82" t="s">
        <v>380</v>
      </c>
      <c r="D41" s="83">
        <v>22307</v>
      </c>
      <c r="E41">
        <f t="shared" ca="1" si="0"/>
        <v>62</v>
      </c>
      <c r="F41" s="83">
        <v>30830</v>
      </c>
      <c r="G41">
        <f t="shared" ca="1" si="1"/>
        <v>38</v>
      </c>
      <c r="H41">
        <v>0</v>
      </c>
      <c r="I41" t="str">
        <f t="shared" ca="1" si="2"/>
        <v>splňuje</v>
      </c>
      <c r="J41" t="str">
        <f t="shared" ca="1" si="3"/>
        <v>víc než 20</v>
      </c>
      <c r="K41" t="s">
        <v>381</v>
      </c>
      <c r="L41">
        <f t="shared" si="4"/>
        <v>2</v>
      </c>
      <c r="M41" t="s">
        <v>390</v>
      </c>
      <c r="N41">
        <f t="shared" si="5"/>
        <v>1</v>
      </c>
      <c r="O41" t="str">
        <f t="shared" si="6"/>
        <v>nesplňuje</v>
      </c>
      <c r="P41" t="s">
        <v>383</v>
      </c>
      <c r="Q41" t="s">
        <v>383</v>
      </c>
      <c r="R41" t="s">
        <v>394</v>
      </c>
      <c r="S41">
        <v>12877</v>
      </c>
    </row>
    <row r="42" spans="1:19" x14ac:dyDescent="0.3">
      <c r="A42" s="82" t="s">
        <v>452</v>
      </c>
      <c r="B42" s="82" t="s">
        <v>274</v>
      </c>
      <c r="C42" s="82" t="s">
        <v>380</v>
      </c>
      <c r="D42" s="83">
        <v>22326</v>
      </c>
      <c r="E42">
        <f t="shared" ca="1" si="0"/>
        <v>62</v>
      </c>
      <c r="F42" s="83">
        <v>34443</v>
      </c>
      <c r="G42">
        <f t="shared" ca="1" si="1"/>
        <v>28</v>
      </c>
      <c r="H42">
        <v>2</v>
      </c>
      <c r="I42" t="str">
        <f t="shared" ca="1" si="2"/>
        <v>splňuje</v>
      </c>
      <c r="J42" t="str">
        <f t="shared" ca="1" si="3"/>
        <v>víc než 20</v>
      </c>
      <c r="K42" t="s">
        <v>381</v>
      </c>
      <c r="L42">
        <f t="shared" si="4"/>
        <v>2</v>
      </c>
      <c r="M42" t="s">
        <v>381</v>
      </c>
      <c r="N42">
        <f t="shared" si="5"/>
        <v>2</v>
      </c>
      <c r="O42" t="str">
        <f t="shared" si="6"/>
        <v>splňuje</v>
      </c>
      <c r="P42" t="s">
        <v>383</v>
      </c>
      <c r="Q42" t="s">
        <v>383</v>
      </c>
      <c r="R42" t="s">
        <v>400</v>
      </c>
      <c r="S42">
        <v>11457</v>
      </c>
    </row>
    <row r="43" spans="1:19" x14ac:dyDescent="0.3">
      <c r="A43" s="82" t="s">
        <v>453</v>
      </c>
      <c r="B43" s="82" t="s">
        <v>454</v>
      </c>
      <c r="C43" s="82" t="s">
        <v>387</v>
      </c>
      <c r="D43" s="83">
        <v>19545</v>
      </c>
      <c r="E43">
        <f t="shared" ca="1" si="0"/>
        <v>69</v>
      </c>
      <c r="F43" s="83">
        <v>27181</v>
      </c>
      <c r="G43">
        <f t="shared" ca="1" si="1"/>
        <v>48</v>
      </c>
      <c r="H43">
        <v>4</v>
      </c>
      <c r="I43" t="str">
        <f t="shared" ca="1" si="2"/>
        <v>splňuje</v>
      </c>
      <c r="J43" t="str">
        <f t="shared" ca="1" si="3"/>
        <v>víc než 20</v>
      </c>
      <c r="K43" t="s">
        <v>381</v>
      </c>
      <c r="L43">
        <f t="shared" si="4"/>
        <v>2</v>
      </c>
      <c r="M43" t="s">
        <v>381</v>
      </c>
      <c r="N43">
        <f t="shared" si="5"/>
        <v>2</v>
      </c>
      <c r="O43" t="str">
        <f t="shared" si="6"/>
        <v>splňuje</v>
      </c>
      <c r="P43" t="s">
        <v>383</v>
      </c>
      <c r="Q43" t="s">
        <v>383</v>
      </c>
      <c r="R43" t="s">
        <v>384</v>
      </c>
      <c r="S43">
        <v>8186</v>
      </c>
    </row>
    <row r="44" spans="1:19" x14ac:dyDescent="0.3">
      <c r="A44" s="82" t="s">
        <v>455</v>
      </c>
      <c r="B44" s="82" t="s">
        <v>456</v>
      </c>
      <c r="C44" s="82" t="s">
        <v>387</v>
      </c>
      <c r="D44" s="83">
        <v>18942</v>
      </c>
      <c r="E44">
        <f t="shared" ca="1" si="0"/>
        <v>71</v>
      </c>
      <c r="F44" s="83">
        <v>32310</v>
      </c>
      <c r="G44">
        <f t="shared" ca="1" si="1"/>
        <v>34</v>
      </c>
      <c r="H44">
        <v>10</v>
      </c>
      <c r="I44" t="str">
        <f t="shared" ca="1" si="2"/>
        <v>splňuje</v>
      </c>
      <c r="J44" t="str">
        <f t="shared" ca="1" si="3"/>
        <v>víc než 20</v>
      </c>
      <c r="K44" t="s">
        <v>399</v>
      </c>
      <c r="L44">
        <f t="shared" si="4"/>
        <v>3</v>
      </c>
      <c r="M44" t="s">
        <v>399</v>
      </c>
      <c r="N44">
        <f t="shared" si="5"/>
        <v>3</v>
      </c>
      <c r="O44" t="str">
        <f t="shared" si="6"/>
        <v>splňuje</v>
      </c>
      <c r="P44" t="s">
        <v>383</v>
      </c>
      <c r="Q44" t="s">
        <v>405</v>
      </c>
      <c r="R44" t="s">
        <v>406</v>
      </c>
      <c r="S44">
        <v>8319</v>
      </c>
    </row>
    <row r="45" spans="1:19" x14ac:dyDescent="0.3">
      <c r="A45" s="82" t="s">
        <v>457</v>
      </c>
      <c r="B45" s="82" t="s">
        <v>458</v>
      </c>
      <c r="C45" s="82" t="s">
        <v>387</v>
      </c>
      <c r="D45" s="83">
        <v>15263</v>
      </c>
      <c r="E45">
        <f t="shared" ca="1" si="0"/>
        <v>81</v>
      </c>
      <c r="F45" s="83">
        <v>29600</v>
      </c>
      <c r="G45">
        <f t="shared" ca="1" si="1"/>
        <v>42</v>
      </c>
      <c r="H45">
        <v>8</v>
      </c>
      <c r="I45" t="str">
        <f t="shared" ca="1" si="2"/>
        <v>splňuje</v>
      </c>
      <c r="J45" t="str">
        <f t="shared" ca="1" si="3"/>
        <v>víc než 20</v>
      </c>
      <c r="K45" t="s">
        <v>381</v>
      </c>
      <c r="L45">
        <f t="shared" si="4"/>
        <v>2</v>
      </c>
      <c r="M45" t="s">
        <v>381</v>
      </c>
      <c r="N45">
        <f t="shared" si="5"/>
        <v>2</v>
      </c>
      <c r="O45" t="str">
        <f t="shared" si="6"/>
        <v>splňuje</v>
      </c>
      <c r="P45" t="s">
        <v>383</v>
      </c>
      <c r="Q45" t="s">
        <v>383</v>
      </c>
      <c r="R45" t="s">
        <v>409</v>
      </c>
      <c r="S45">
        <v>14565</v>
      </c>
    </row>
    <row r="46" spans="1:19" x14ac:dyDescent="0.3">
      <c r="A46" s="82" t="s">
        <v>459</v>
      </c>
      <c r="B46" s="82" t="s">
        <v>423</v>
      </c>
      <c r="C46" s="82" t="s">
        <v>387</v>
      </c>
      <c r="D46" s="83">
        <v>27891</v>
      </c>
      <c r="E46">
        <f t="shared" ca="1" si="0"/>
        <v>46</v>
      </c>
      <c r="F46" s="83">
        <v>35826</v>
      </c>
      <c r="G46">
        <f t="shared" ca="1" si="1"/>
        <v>25</v>
      </c>
      <c r="H46">
        <v>2</v>
      </c>
      <c r="I46" t="str">
        <f t="shared" ca="1" si="2"/>
        <v>splňuje</v>
      </c>
      <c r="J46" t="str">
        <f t="shared" ca="1" si="3"/>
        <v>víc než 20</v>
      </c>
      <c r="K46" t="s">
        <v>390</v>
      </c>
      <c r="L46">
        <f t="shared" si="4"/>
        <v>1</v>
      </c>
      <c r="M46" t="s">
        <v>381</v>
      </c>
      <c r="N46">
        <f t="shared" si="5"/>
        <v>2</v>
      </c>
      <c r="O46" t="str">
        <f t="shared" si="6"/>
        <v>překračuje</v>
      </c>
      <c r="P46" t="s">
        <v>460</v>
      </c>
      <c r="Q46" t="s">
        <v>383</v>
      </c>
      <c r="R46" t="s">
        <v>400</v>
      </c>
      <c r="S46">
        <v>13082</v>
      </c>
    </row>
    <row r="47" spans="1:19" x14ac:dyDescent="0.3">
      <c r="A47" s="82" t="s">
        <v>461</v>
      </c>
      <c r="B47" s="82" t="s">
        <v>462</v>
      </c>
      <c r="C47" s="82" t="s">
        <v>380</v>
      </c>
      <c r="D47" s="83">
        <v>26497</v>
      </c>
      <c r="E47">
        <f t="shared" ca="1" si="0"/>
        <v>50</v>
      </c>
      <c r="F47" s="83">
        <v>34005</v>
      </c>
      <c r="G47">
        <f t="shared" ca="1" si="1"/>
        <v>30</v>
      </c>
      <c r="H47">
        <v>2</v>
      </c>
      <c r="I47" t="str">
        <f t="shared" ca="1" si="2"/>
        <v>splňuje</v>
      </c>
      <c r="J47" t="str">
        <f t="shared" ca="1" si="3"/>
        <v>víc než 20</v>
      </c>
      <c r="K47" t="s">
        <v>390</v>
      </c>
      <c r="L47">
        <f t="shared" si="4"/>
        <v>1</v>
      </c>
      <c r="M47" t="s">
        <v>381</v>
      </c>
      <c r="N47">
        <f t="shared" si="5"/>
        <v>2</v>
      </c>
      <c r="O47" t="str">
        <f t="shared" si="6"/>
        <v>překračuje</v>
      </c>
      <c r="P47" t="s">
        <v>460</v>
      </c>
      <c r="Q47" t="s">
        <v>383</v>
      </c>
      <c r="R47" t="s">
        <v>400</v>
      </c>
      <c r="S47">
        <v>10598</v>
      </c>
    </row>
    <row r="48" spans="1:19" x14ac:dyDescent="0.3">
      <c r="A48" s="82" t="s">
        <v>463</v>
      </c>
      <c r="B48" s="82" t="s">
        <v>464</v>
      </c>
      <c r="C48" s="82" t="s">
        <v>387</v>
      </c>
      <c r="D48" s="83">
        <v>24269</v>
      </c>
      <c r="E48">
        <f t="shared" ca="1" si="0"/>
        <v>56</v>
      </c>
      <c r="F48" s="83">
        <v>34655</v>
      </c>
      <c r="G48">
        <f t="shared" ca="1" si="1"/>
        <v>28</v>
      </c>
      <c r="H48">
        <v>15</v>
      </c>
      <c r="I48" t="str">
        <f t="shared" ca="1" si="2"/>
        <v>splňuje</v>
      </c>
      <c r="J48" t="str">
        <f t="shared" ca="1" si="3"/>
        <v>víc než 20</v>
      </c>
      <c r="K48" t="s">
        <v>465</v>
      </c>
      <c r="L48">
        <f t="shared" si="4"/>
        <v>4</v>
      </c>
      <c r="M48" t="s">
        <v>465</v>
      </c>
      <c r="N48">
        <f t="shared" si="5"/>
        <v>4</v>
      </c>
      <c r="O48" t="str">
        <f t="shared" si="6"/>
        <v>splňuje</v>
      </c>
      <c r="P48" t="s">
        <v>460</v>
      </c>
      <c r="Q48" t="s">
        <v>405</v>
      </c>
      <c r="R48" t="s">
        <v>466</v>
      </c>
      <c r="S48">
        <v>14329</v>
      </c>
    </row>
    <row r="49" spans="1:19" x14ac:dyDescent="0.3">
      <c r="A49" s="82" t="s">
        <v>467</v>
      </c>
      <c r="B49" s="82" t="s">
        <v>468</v>
      </c>
      <c r="C49" s="82" t="s">
        <v>380</v>
      </c>
      <c r="D49" s="83">
        <v>21719</v>
      </c>
      <c r="E49">
        <f t="shared" ca="1" si="0"/>
        <v>63</v>
      </c>
      <c r="F49" s="83">
        <v>34615</v>
      </c>
      <c r="G49">
        <f t="shared" ca="1" si="1"/>
        <v>28</v>
      </c>
      <c r="H49">
        <v>2</v>
      </c>
      <c r="I49" t="str">
        <f t="shared" ca="1" si="2"/>
        <v>splňuje</v>
      </c>
      <c r="J49" t="str">
        <f t="shared" ca="1" si="3"/>
        <v>víc než 20</v>
      </c>
      <c r="K49" t="s">
        <v>381</v>
      </c>
      <c r="L49">
        <f t="shared" si="4"/>
        <v>2</v>
      </c>
      <c r="M49" t="s">
        <v>381</v>
      </c>
      <c r="N49">
        <f t="shared" si="5"/>
        <v>2</v>
      </c>
      <c r="O49" t="str">
        <f t="shared" si="6"/>
        <v>splňuje</v>
      </c>
      <c r="P49" t="s">
        <v>460</v>
      </c>
      <c r="Q49" t="s">
        <v>383</v>
      </c>
      <c r="R49" t="s">
        <v>400</v>
      </c>
      <c r="S49">
        <v>10451</v>
      </c>
    </row>
    <row r="50" spans="1:19" x14ac:dyDescent="0.3">
      <c r="A50" s="82" t="s">
        <v>469</v>
      </c>
      <c r="B50" s="82" t="s">
        <v>470</v>
      </c>
      <c r="C50" s="82" t="s">
        <v>380</v>
      </c>
      <c r="D50" s="83">
        <v>17056</v>
      </c>
      <c r="E50">
        <f t="shared" ca="1" si="0"/>
        <v>76</v>
      </c>
      <c r="F50" s="83">
        <v>32600</v>
      </c>
      <c r="G50">
        <f t="shared" ca="1" si="1"/>
        <v>33</v>
      </c>
      <c r="H50">
        <v>15</v>
      </c>
      <c r="I50" t="str">
        <f t="shared" ca="1" si="2"/>
        <v>splňuje</v>
      </c>
      <c r="J50" t="str">
        <f t="shared" ca="1" si="3"/>
        <v>víc než 20</v>
      </c>
      <c r="K50" t="s">
        <v>465</v>
      </c>
      <c r="L50">
        <f t="shared" si="4"/>
        <v>4</v>
      </c>
      <c r="M50" t="s">
        <v>465</v>
      </c>
      <c r="N50">
        <f t="shared" si="5"/>
        <v>4</v>
      </c>
      <c r="O50" t="str">
        <f t="shared" si="6"/>
        <v>splňuje</v>
      </c>
      <c r="P50" t="s">
        <v>460</v>
      </c>
      <c r="Q50" t="s">
        <v>405</v>
      </c>
      <c r="R50" t="s">
        <v>471</v>
      </c>
      <c r="S50">
        <v>10608</v>
      </c>
    </row>
    <row r="51" spans="1:19" x14ac:dyDescent="0.3">
      <c r="A51" s="82" t="s">
        <v>472</v>
      </c>
      <c r="B51" s="82" t="s">
        <v>473</v>
      </c>
      <c r="C51" s="82" t="s">
        <v>380</v>
      </c>
      <c r="D51" s="83">
        <v>27390</v>
      </c>
      <c r="E51">
        <f t="shared" ca="1" si="0"/>
        <v>48</v>
      </c>
      <c r="F51" s="83">
        <v>35350</v>
      </c>
      <c r="G51">
        <f t="shared" ca="1" si="1"/>
        <v>26</v>
      </c>
      <c r="H51">
        <v>2</v>
      </c>
      <c r="I51" t="str">
        <f t="shared" ca="1" si="2"/>
        <v>splňuje</v>
      </c>
      <c r="J51" t="str">
        <f t="shared" ca="1" si="3"/>
        <v>víc než 20</v>
      </c>
      <c r="K51" t="s">
        <v>390</v>
      </c>
      <c r="L51">
        <f t="shared" si="4"/>
        <v>1</v>
      </c>
      <c r="M51" t="s">
        <v>390</v>
      </c>
      <c r="N51">
        <f t="shared" si="5"/>
        <v>1</v>
      </c>
      <c r="O51" t="str">
        <f t="shared" si="6"/>
        <v>splňuje</v>
      </c>
      <c r="P51" t="s">
        <v>474</v>
      </c>
      <c r="Q51" t="s">
        <v>383</v>
      </c>
      <c r="R51" t="s">
        <v>475</v>
      </c>
      <c r="S51">
        <v>12610</v>
      </c>
    </row>
    <row r="52" spans="1:19" x14ac:dyDescent="0.3">
      <c r="A52" s="82" t="s">
        <v>476</v>
      </c>
      <c r="B52" s="82" t="s">
        <v>386</v>
      </c>
      <c r="C52" s="82" t="s">
        <v>387</v>
      </c>
      <c r="D52" s="83">
        <v>27178</v>
      </c>
      <c r="E52">
        <f t="shared" ca="1" si="0"/>
        <v>48</v>
      </c>
      <c r="F52" s="83">
        <v>35538</v>
      </c>
      <c r="G52">
        <f t="shared" ca="1" si="1"/>
        <v>25</v>
      </c>
      <c r="H52">
        <v>2</v>
      </c>
      <c r="I52" t="str">
        <f t="shared" ca="1" si="2"/>
        <v>splňuje</v>
      </c>
      <c r="J52" t="str">
        <f t="shared" ca="1" si="3"/>
        <v>víc než 20</v>
      </c>
      <c r="K52" t="s">
        <v>381</v>
      </c>
      <c r="L52">
        <f t="shared" si="4"/>
        <v>2</v>
      </c>
      <c r="M52" t="s">
        <v>390</v>
      </c>
      <c r="N52">
        <f t="shared" si="5"/>
        <v>1</v>
      </c>
      <c r="O52" t="str">
        <f t="shared" si="6"/>
        <v>nesplňuje</v>
      </c>
      <c r="P52" t="s">
        <v>474</v>
      </c>
      <c r="Q52" t="s">
        <v>383</v>
      </c>
      <c r="R52" t="s">
        <v>475</v>
      </c>
      <c r="S52">
        <v>12487</v>
      </c>
    </row>
    <row r="53" spans="1:19" x14ac:dyDescent="0.3">
      <c r="A53" s="82" t="s">
        <v>477</v>
      </c>
      <c r="B53" s="82" t="s">
        <v>423</v>
      </c>
      <c r="C53" s="82" t="s">
        <v>387</v>
      </c>
      <c r="D53" s="83">
        <v>26151</v>
      </c>
      <c r="E53">
        <f t="shared" ca="1" si="0"/>
        <v>51</v>
      </c>
      <c r="F53" s="83">
        <v>34332</v>
      </c>
      <c r="G53">
        <f t="shared" ca="1" si="1"/>
        <v>29</v>
      </c>
      <c r="H53">
        <v>2</v>
      </c>
      <c r="I53" t="str">
        <f t="shared" ca="1" si="2"/>
        <v>splňuje</v>
      </c>
      <c r="J53" t="str">
        <f t="shared" ca="1" si="3"/>
        <v>víc než 20</v>
      </c>
      <c r="K53" t="s">
        <v>390</v>
      </c>
      <c r="L53">
        <f t="shared" si="4"/>
        <v>1</v>
      </c>
      <c r="M53" t="s">
        <v>390</v>
      </c>
      <c r="N53">
        <f t="shared" si="5"/>
        <v>1</v>
      </c>
      <c r="O53" t="str">
        <f t="shared" si="6"/>
        <v>splňuje</v>
      </c>
      <c r="P53" t="s">
        <v>474</v>
      </c>
      <c r="Q53" t="s">
        <v>383</v>
      </c>
      <c r="R53" t="s">
        <v>475</v>
      </c>
      <c r="S53">
        <v>14525</v>
      </c>
    </row>
    <row r="54" spans="1:19" x14ac:dyDescent="0.3">
      <c r="A54" s="82" t="s">
        <v>478</v>
      </c>
      <c r="B54" s="82" t="s">
        <v>195</v>
      </c>
      <c r="C54" s="82" t="s">
        <v>387</v>
      </c>
      <c r="D54" s="83">
        <v>23356</v>
      </c>
      <c r="E54">
        <f t="shared" ca="1" si="0"/>
        <v>59</v>
      </c>
      <c r="F54" s="83">
        <v>32114</v>
      </c>
      <c r="G54">
        <f t="shared" ca="1" si="1"/>
        <v>35</v>
      </c>
      <c r="H54">
        <v>2</v>
      </c>
      <c r="I54" t="str">
        <f t="shared" ca="1" si="2"/>
        <v>splňuje</v>
      </c>
      <c r="J54" t="str">
        <f t="shared" ca="1" si="3"/>
        <v>víc než 20</v>
      </c>
      <c r="K54" t="s">
        <v>381</v>
      </c>
      <c r="L54">
        <f t="shared" si="4"/>
        <v>2</v>
      </c>
      <c r="M54" t="s">
        <v>390</v>
      </c>
      <c r="N54">
        <f t="shared" si="5"/>
        <v>1</v>
      </c>
      <c r="O54" t="str">
        <f t="shared" si="6"/>
        <v>nesplňuje</v>
      </c>
      <c r="P54" t="s">
        <v>474</v>
      </c>
      <c r="Q54" t="s">
        <v>383</v>
      </c>
      <c r="R54" t="s">
        <v>475</v>
      </c>
      <c r="S54">
        <v>13046</v>
      </c>
    </row>
    <row r="55" spans="1:19" x14ac:dyDescent="0.3">
      <c r="A55" s="82" t="s">
        <v>479</v>
      </c>
      <c r="B55" s="82" t="s">
        <v>423</v>
      </c>
      <c r="C55" s="82" t="s">
        <v>387</v>
      </c>
      <c r="D55" s="83">
        <v>22857</v>
      </c>
      <c r="E55">
        <f t="shared" ca="1" si="0"/>
        <v>60</v>
      </c>
      <c r="F55" s="83">
        <v>32683</v>
      </c>
      <c r="G55">
        <f t="shared" ca="1" si="1"/>
        <v>33</v>
      </c>
      <c r="H55">
        <v>2</v>
      </c>
      <c r="I55" t="str">
        <f t="shared" ca="1" si="2"/>
        <v>splňuje</v>
      </c>
      <c r="J55" t="str">
        <f t="shared" ca="1" si="3"/>
        <v>víc než 20</v>
      </c>
      <c r="K55" t="s">
        <v>381</v>
      </c>
      <c r="L55">
        <f t="shared" si="4"/>
        <v>2</v>
      </c>
      <c r="M55" t="s">
        <v>390</v>
      </c>
      <c r="N55">
        <f t="shared" si="5"/>
        <v>1</v>
      </c>
      <c r="O55" t="str">
        <f t="shared" si="6"/>
        <v>nesplňuje</v>
      </c>
      <c r="P55" t="s">
        <v>474</v>
      </c>
      <c r="Q55" t="s">
        <v>383</v>
      </c>
      <c r="R55" t="s">
        <v>475</v>
      </c>
      <c r="S55">
        <v>8016</v>
      </c>
    </row>
    <row r="56" spans="1:19" x14ac:dyDescent="0.3">
      <c r="A56" s="82" t="s">
        <v>480</v>
      </c>
      <c r="B56" s="82" t="s">
        <v>195</v>
      </c>
      <c r="C56" s="82" t="s">
        <v>387</v>
      </c>
      <c r="D56" s="83">
        <v>22192</v>
      </c>
      <c r="E56">
        <f t="shared" ca="1" si="0"/>
        <v>62</v>
      </c>
      <c r="F56" s="83">
        <v>32842</v>
      </c>
      <c r="G56">
        <f t="shared" ca="1" si="1"/>
        <v>33</v>
      </c>
      <c r="H56">
        <v>2</v>
      </c>
      <c r="I56" t="str">
        <f t="shared" ca="1" si="2"/>
        <v>splňuje</v>
      </c>
      <c r="J56" t="str">
        <f t="shared" ca="1" si="3"/>
        <v>víc než 20</v>
      </c>
      <c r="K56" t="s">
        <v>381</v>
      </c>
      <c r="L56">
        <f t="shared" si="4"/>
        <v>2</v>
      </c>
      <c r="M56" t="s">
        <v>390</v>
      </c>
      <c r="N56">
        <f t="shared" si="5"/>
        <v>1</v>
      </c>
      <c r="O56" t="str">
        <f t="shared" si="6"/>
        <v>nesplňuje</v>
      </c>
      <c r="P56" t="s">
        <v>474</v>
      </c>
      <c r="Q56" t="s">
        <v>383</v>
      </c>
      <c r="R56" t="s">
        <v>475</v>
      </c>
      <c r="S56">
        <v>13908</v>
      </c>
    </row>
    <row r="57" spans="1:19" x14ac:dyDescent="0.3">
      <c r="A57" s="82" t="s">
        <v>481</v>
      </c>
      <c r="B57" s="82" t="s">
        <v>482</v>
      </c>
      <c r="C57" s="82" t="s">
        <v>387</v>
      </c>
      <c r="D57" s="83">
        <v>18276</v>
      </c>
      <c r="E57">
        <f t="shared" ca="1" si="0"/>
        <v>73</v>
      </c>
      <c r="F57" s="83">
        <v>26728</v>
      </c>
      <c r="G57">
        <f t="shared" ca="1" si="1"/>
        <v>49</v>
      </c>
      <c r="H57">
        <v>5</v>
      </c>
      <c r="I57" t="str">
        <f t="shared" ca="1" si="2"/>
        <v>splňuje</v>
      </c>
      <c r="J57" t="str">
        <f t="shared" ca="1" si="3"/>
        <v>víc než 20</v>
      </c>
      <c r="K57" t="s">
        <v>390</v>
      </c>
      <c r="L57">
        <f t="shared" si="4"/>
        <v>1</v>
      </c>
      <c r="M57" t="s">
        <v>390</v>
      </c>
      <c r="N57">
        <f t="shared" si="5"/>
        <v>1</v>
      </c>
      <c r="O57" t="str">
        <f t="shared" si="6"/>
        <v>splňuje</v>
      </c>
      <c r="P57" t="s">
        <v>474</v>
      </c>
      <c r="Q57" t="s">
        <v>383</v>
      </c>
      <c r="R57" t="s">
        <v>483</v>
      </c>
      <c r="S57">
        <v>11135</v>
      </c>
    </row>
    <row r="58" spans="1:19" x14ac:dyDescent="0.3">
      <c r="A58" s="82" t="s">
        <v>484</v>
      </c>
      <c r="B58" s="82" t="s">
        <v>485</v>
      </c>
      <c r="C58" s="82" t="s">
        <v>387</v>
      </c>
      <c r="D58" s="83">
        <v>16163</v>
      </c>
      <c r="E58">
        <f t="shared" ca="1" si="0"/>
        <v>78</v>
      </c>
      <c r="F58" s="83">
        <v>29804</v>
      </c>
      <c r="G58">
        <f t="shared" ca="1" si="1"/>
        <v>41</v>
      </c>
      <c r="H58">
        <v>2</v>
      </c>
      <c r="I58" t="str">
        <f t="shared" ca="1" si="2"/>
        <v>splňuje</v>
      </c>
      <c r="J58" t="str">
        <f t="shared" ca="1" si="3"/>
        <v>víc než 20</v>
      </c>
      <c r="K58" t="s">
        <v>390</v>
      </c>
      <c r="L58">
        <f t="shared" si="4"/>
        <v>1</v>
      </c>
      <c r="M58" t="s">
        <v>390</v>
      </c>
      <c r="N58">
        <f t="shared" si="5"/>
        <v>1</v>
      </c>
      <c r="O58" t="str">
        <f t="shared" si="6"/>
        <v>splňuje</v>
      </c>
      <c r="P58" t="s">
        <v>474</v>
      </c>
      <c r="Q58" t="s">
        <v>383</v>
      </c>
      <c r="R58" t="s">
        <v>475</v>
      </c>
      <c r="S58">
        <v>9356</v>
      </c>
    </row>
    <row r="59" spans="1:19" x14ac:dyDescent="0.3">
      <c r="A59" s="82" t="s">
        <v>486</v>
      </c>
      <c r="B59" s="82" t="s">
        <v>271</v>
      </c>
      <c r="C59" s="82" t="s">
        <v>380</v>
      </c>
      <c r="D59" s="83">
        <v>15089</v>
      </c>
      <c r="E59">
        <f t="shared" ca="1" si="0"/>
        <v>81</v>
      </c>
      <c r="F59" s="83">
        <v>26035</v>
      </c>
      <c r="G59">
        <f t="shared" ca="1" si="1"/>
        <v>51</v>
      </c>
      <c r="H59">
        <v>2</v>
      </c>
      <c r="I59" t="str">
        <f t="shared" ca="1" si="2"/>
        <v>splňuje</v>
      </c>
      <c r="J59" t="str">
        <f t="shared" ca="1" si="3"/>
        <v>víc než 20</v>
      </c>
      <c r="K59" t="s">
        <v>381</v>
      </c>
      <c r="L59">
        <f t="shared" si="4"/>
        <v>2</v>
      </c>
      <c r="M59" t="s">
        <v>390</v>
      </c>
      <c r="N59">
        <f t="shared" si="5"/>
        <v>1</v>
      </c>
      <c r="O59" t="str">
        <f t="shared" si="6"/>
        <v>nesplňuje</v>
      </c>
      <c r="P59" t="s">
        <v>474</v>
      </c>
      <c r="Q59" t="s">
        <v>383</v>
      </c>
      <c r="R59" t="s">
        <v>475</v>
      </c>
      <c r="S59">
        <v>9548</v>
      </c>
    </row>
    <row r="60" spans="1:19" x14ac:dyDescent="0.3">
      <c r="A60" s="82" t="s">
        <v>487</v>
      </c>
      <c r="B60" s="82" t="s">
        <v>273</v>
      </c>
      <c r="C60" s="82" t="s">
        <v>380</v>
      </c>
      <c r="D60" s="83">
        <v>26767</v>
      </c>
      <c r="E60">
        <f t="shared" ca="1" si="0"/>
        <v>49</v>
      </c>
      <c r="F60" s="83">
        <v>35563</v>
      </c>
      <c r="G60">
        <f t="shared" ca="1" si="1"/>
        <v>25</v>
      </c>
      <c r="H60">
        <v>20</v>
      </c>
      <c r="I60" t="str">
        <f t="shared" ca="1" si="2"/>
        <v>splňuje</v>
      </c>
      <c r="J60" t="str">
        <f t="shared" ca="1" si="3"/>
        <v>víc než 20</v>
      </c>
      <c r="K60" t="s">
        <v>465</v>
      </c>
      <c r="L60">
        <f t="shared" si="4"/>
        <v>4</v>
      </c>
      <c r="M60" t="s">
        <v>465</v>
      </c>
      <c r="N60">
        <f t="shared" si="5"/>
        <v>4</v>
      </c>
      <c r="O60" t="str">
        <f t="shared" si="6"/>
        <v>splňuje</v>
      </c>
      <c r="P60" t="s">
        <v>488</v>
      </c>
      <c r="Q60" t="s">
        <v>405</v>
      </c>
      <c r="R60" t="s">
        <v>489</v>
      </c>
      <c r="S60">
        <v>13423</v>
      </c>
    </row>
    <row r="61" spans="1:19" x14ac:dyDescent="0.3">
      <c r="A61" s="82" t="s">
        <v>490</v>
      </c>
      <c r="B61" s="82" t="s">
        <v>195</v>
      </c>
      <c r="C61" s="82" t="s">
        <v>387</v>
      </c>
      <c r="D61" s="83">
        <v>24204</v>
      </c>
      <c r="E61">
        <f t="shared" ca="1" si="0"/>
        <v>56</v>
      </c>
      <c r="F61" s="83">
        <v>35526</v>
      </c>
      <c r="G61">
        <f t="shared" ca="1" si="1"/>
        <v>25</v>
      </c>
      <c r="H61">
        <v>0</v>
      </c>
      <c r="I61" t="str">
        <f t="shared" ca="1" si="2"/>
        <v>splňuje</v>
      </c>
      <c r="J61" t="str">
        <f t="shared" ca="1" si="3"/>
        <v>víc než 20</v>
      </c>
      <c r="K61" t="s">
        <v>390</v>
      </c>
      <c r="L61">
        <f t="shared" si="4"/>
        <v>1</v>
      </c>
      <c r="M61" t="s">
        <v>390</v>
      </c>
      <c r="N61">
        <f t="shared" si="5"/>
        <v>1</v>
      </c>
      <c r="O61" t="str">
        <f t="shared" si="6"/>
        <v>splňuje</v>
      </c>
      <c r="P61" t="s">
        <v>488</v>
      </c>
      <c r="Q61" t="s">
        <v>383</v>
      </c>
      <c r="R61" t="s">
        <v>491</v>
      </c>
      <c r="S61">
        <v>10526</v>
      </c>
    </row>
    <row r="62" spans="1:19" x14ac:dyDescent="0.3">
      <c r="A62" s="82" t="s">
        <v>492</v>
      </c>
      <c r="B62" s="82" t="s">
        <v>493</v>
      </c>
      <c r="C62" s="82" t="s">
        <v>380</v>
      </c>
      <c r="D62" s="83">
        <v>23707</v>
      </c>
      <c r="E62">
        <f t="shared" ca="1" si="0"/>
        <v>58</v>
      </c>
      <c r="F62" s="83">
        <v>31462</v>
      </c>
      <c r="G62">
        <f t="shared" ca="1" si="1"/>
        <v>36</v>
      </c>
      <c r="H62">
        <v>6</v>
      </c>
      <c r="I62" t="str">
        <f t="shared" ca="1" si="2"/>
        <v>splňuje</v>
      </c>
      <c r="J62" t="str">
        <f t="shared" ca="1" si="3"/>
        <v>víc než 20</v>
      </c>
      <c r="K62" t="s">
        <v>399</v>
      </c>
      <c r="L62">
        <f t="shared" si="4"/>
        <v>3</v>
      </c>
      <c r="M62" t="s">
        <v>399</v>
      </c>
      <c r="N62">
        <f t="shared" si="5"/>
        <v>3</v>
      </c>
      <c r="O62" t="str">
        <f t="shared" si="6"/>
        <v>splňuje</v>
      </c>
      <c r="P62" t="s">
        <v>488</v>
      </c>
      <c r="Q62" t="s">
        <v>405</v>
      </c>
      <c r="R62" t="s">
        <v>494</v>
      </c>
      <c r="S62">
        <v>8395</v>
      </c>
    </row>
    <row r="63" spans="1:19" x14ac:dyDescent="0.3">
      <c r="A63" s="82" t="s">
        <v>495</v>
      </c>
      <c r="B63" s="82" t="s">
        <v>269</v>
      </c>
      <c r="C63" s="82" t="s">
        <v>387</v>
      </c>
      <c r="D63" s="83">
        <v>23917</v>
      </c>
      <c r="E63">
        <f t="shared" ca="1" si="0"/>
        <v>57</v>
      </c>
      <c r="F63" s="83">
        <v>31559</v>
      </c>
      <c r="G63">
        <f t="shared" ca="1" si="1"/>
        <v>36</v>
      </c>
      <c r="H63">
        <v>15</v>
      </c>
      <c r="I63" t="str">
        <f t="shared" ca="1" si="2"/>
        <v>splňuje</v>
      </c>
      <c r="J63" t="str">
        <f t="shared" ca="1" si="3"/>
        <v>víc než 20</v>
      </c>
      <c r="K63" t="s">
        <v>399</v>
      </c>
      <c r="L63">
        <f t="shared" si="4"/>
        <v>3</v>
      </c>
      <c r="M63" t="s">
        <v>465</v>
      </c>
      <c r="N63">
        <f t="shared" si="5"/>
        <v>4</v>
      </c>
      <c r="O63" t="str">
        <f t="shared" si="6"/>
        <v>překračuje</v>
      </c>
      <c r="P63" t="s">
        <v>488</v>
      </c>
      <c r="Q63" t="s">
        <v>405</v>
      </c>
      <c r="R63" t="s">
        <v>496</v>
      </c>
      <c r="S63">
        <v>13179</v>
      </c>
    </row>
    <row r="64" spans="1:19" x14ac:dyDescent="0.3">
      <c r="A64" s="82" t="s">
        <v>497</v>
      </c>
      <c r="B64" s="82" t="s">
        <v>429</v>
      </c>
      <c r="C64" s="82" t="s">
        <v>387</v>
      </c>
      <c r="D64" s="83">
        <v>23102</v>
      </c>
      <c r="E64">
        <f t="shared" ca="1" si="0"/>
        <v>59</v>
      </c>
      <c r="F64" s="83">
        <v>30623</v>
      </c>
      <c r="G64">
        <f t="shared" ca="1" si="1"/>
        <v>39</v>
      </c>
      <c r="H64">
        <v>15</v>
      </c>
      <c r="I64" t="str">
        <f t="shared" ca="1" si="2"/>
        <v>splňuje</v>
      </c>
      <c r="J64" t="str">
        <f t="shared" ca="1" si="3"/>
        <v>víc než 20</v>
      </c>
      <c r="K64" t="s">
        <v>465</v>
      </c>
      <c r="L64">
        <f t="shared" si="4"/>
        <v>4</v>
      </c>
      <c r="M64" t="s">
        <v>465</v>
      </c>
      <c r="N64">
        <f t="shared" si="5"/>
        <v>4</v>
      </c>
      <c r="O64" t="str">
        <f t="shared" si="6"/>
        <v>splňuje</v>
      </c>
      <c r="P64" t="s">
        <v>488</v>
      </c>
      <c r="Q64" t="s">
        <v>405</v>
      </c>
      <c r="R64" t="s">
        <v>498</v>
      </c>
      <c r="S64">
        <v>12375</v>
      </c>
    </row>
    <row r="65" spans="1:19" x14ac:dyDescent="0.3">
      <c r="A65" s="82" t="s">
        <v>499</v>
      </c>
      <c r="B65" s="82" t="s">
        <v>274</v>
      </c>
      <c r="C65" s="82" t="s">
        <v>380</v>
      </c>
      <c r="D65" s="83">
        <v>22593</v>
      </c>
      <c r="E65">
        <f t="shared" ca="1" si="0"/>
        <v>61</v>
      </c>
      <c r="F65" s="83">
        <v>32106</v>
      </c>
      <c r="G65">
        <f t="shared" ca="1" si="1"/>
        <v>35</v>
      </c>
      <c r="H65">
        <v>5</v>
      </c>
      <c r="I65" t="str">
        <f t="shared" ca="1" si="2"/>
        <v>splňuje</v>
      </c>
      <c r="J65" t="str">
        <f t="shared" ca="1" si="3"/>
        <v>víc než 20</v>
      </c>
      <c r="K65" t="s">
        <v>399</v>
      </c>
      <c r="L65">
        <f t="shared" si="4"/>
        <v>3</v>
      </c>
      <c r="M65" t="s">
        <v>399</v>
      </c>
      <c r="N65">
        <f t="shared" si="5"/>
        <v>3</v>
      </c>
      <c r="O65" t="str">
        <f t="shared" si="6"/>
        <v>splňuje</v>
      </c>
      <c r="P65" t="s">
        <v>488</v>
      </c>
      <c r="Q65" t="s">
        <v>405</v>
      </c>
      <c r="R65" t="s">
        <v>500</v>
      </c>
      <c r="S65">
        <v>10081</v>
      </c>
    </row>
    <row r="66" spans="1:19" x14ac:dyDescent="0.3">
      <c r="A66" s="82" t="s">
        <v>501</v>
      </c>
      <c r="B66" s="82" t="s">
        <v>201</v>
      </c>
      <c r="C66" s="82" t="s">
        <v>387</v>
      </c>
      <c r="D66" s="83">
        <v>22219</v>
      </c>
      <c r="E66">
        <f t="shared" ca="1" si="0"/>
        <v>62</v>
      </c>
      <c r="F66" s="83">
        <v>34942</v>
      </c>
      <c r="G66">
        <f t="shared" ca="1" si="1"/>
        <v>27</v>
      </c>
      <c r="H66">
        <v>5</v>
      </c>
      <c r="I66" t="str">
        <f t="shared" ca="1" si="2"/>
        <v>splňuje</v>
      </c>
      <c r="J66" t="str">
        <f t="shared" ca="1" si="3"/>
        <v>víc než 20</v>
      </c>
      <c r="K66" t="s">
        <v>399</v>
      </c>
      <c r="L66">
        <f t="shared" si="4"/>
        <v>3</v>
      </c>
      <c r="M66" t="s">
        <v>399</v>
      </c>
      <c r="N66">
        <f t="shared" si="5"/>
        <v>3</v>
      </c>
      <c r="O66" t="str">
        <f t="shared" si="6"/>
        <v>splňuje</v>
      </c>
      <c r="P66" t="s">
        <v>488</v>
      </c>
      <c r="Q66" t="s">
        <v>405</v>
      </c>
      <c r="R66" t="s">
        <v>500</v>
      </c>
      <c r="S66">
        <v>10705</v>
      </c>
    </row>
    <row r="67" spans="1:19" x14ac:dyDescent="0.3">
      <c r="A67" s="82" t="s">
        <v>502</v>
      </c>
      <c r="B67" s="82" t="s">
        <v>266</v>
      </c>
      <c r="C67" s="82" t="s">
        <v>387</v>
      </c>
      <c r="D67" s="83">
        <v>21699</v>
      </c>
      <c r="E67">
        <f t="shared" ca="1" si="0"/>
        <v>63</v>
      </c>
      <c r="F67" s="83">
        <v>32168</v>
      </c>
      <c r="G67">
        <f t="shared" ca="1" si="1"/>
        <v>35</v>
      </c>
      <c r="H67">
        <v>0</v>
      </c>
      <c r="I67" t="str">
        <f t="shared" ca="1" si="2"/>
        <v>splňuje</v>
      </c>
      <c r="J67" t="str">
        <f t="shared" ca="1" si="3"/>
        <v>víc než 20</v>
      </c>
      <c r="K67" t="s">
        <v>390</v>
      </c>
      <c r="L67">
        <f t="shared" si="4"/>
        <v>1</v>
      </c>
      <c r="M67" t="s">
        <v>390</v>
      </c>
      <c r="N67">
        <f t="shared" si="5"/>
        <v>1</v>
      </c>
      <c r="O67" t="str">
        <f t="shared" si="6"/>
        <v>splňuje</v>
      </c>
      <c r="P67" t="s">
        <v>488</v>
      </c>
      <c r="Q67" t="s">
        <v>383</v>
      </c>
      <c r="R67" t="s">
        <v>503</v>
      </c>
      <c r="S67">
        <v>14302</v>
      </c>
    </row>
    <row r="68" spans="1:19" x14ac:dyDescent="0.3">
      <c r="A68" s="82" t="s">
        <v>504</v>
      </c>
      <c r="B68" s="82" t="s">
        <v>273</v>
      </c>
      <c r="C68" s="82" t="s">
        <v>380</v>
      </c>
      <c r="D68" s="83">
        <v>21362</v>
      </c>
      <c r="E68">
        <f t="shared" ca="1" si="0"/>
        <v>64</v>
      </c>
      <c r="F68" s="83">
        <v>29124</v>
      </c>
      <c r="G68">
        <f t="shared" ca="1" si="1"/>
        <v>43</v>
      </c>
      <c r="H68">
        <v>6</v>
      </c>
      <c r="I68" t="str">
        <f t="shared" ca="1" si="2"/>
        <v>splňuje</v>
      </c>
      <c r="J68" t="str">
        <f t="shared" ca="1" si="3"/>
        <v>víc než 20</v>
      </c>
      <c r="K68" t="s">
        <v>399</v>
      </c>
      <c r="L68">
        <f t="shared" si="4"/>
        <v>3</v>
      </c>
      <c r="M68" t="s">
        <v>399</v>
      </c>
      <c r="N68">
        <f t="shared" si="5"/>
        <v>3</v>
      </c>
      <c r="O68" t="str">
        <f t="shared" si="6"/>
        <v>splňuje</v>
      </c>
      <c r="P68" t="s">
        <v>488</v>
      </c>
      <c r="Q68" t="s">
        <v>405</v>
      </c>
      <c r="R68" t="s">
        <v>505</v>
      </c>
      <c r="S68">
        <v>12248</v>
      </c>
    </row>
    <row r="69" spans="1:19" x14ac:dyDescent="0.3">
      <c r="A69" s="82" t="s">
        <v>463</v>
      </c>
      <c r="B69" s="82" t="s">
        <v>195</v>
      </c>
      <c r="C69" s="82" t="s">
        <v>387</v>
      </c>
      <c r="D69" s="83">
        <v>20354</v>
      </c>
      <c r="E69">
        <f t="shared" ca="1" si="0"/>
        <v>67</v>
      </c>
      <c r="F69" s="83">
        <v>32878</v>
      </c>
      <c r="G69">
        <f t="shared" ca="1" si="1"/>
        <v>33</v>
      </c>
      <c r="H69">
        <v>15</v>
      </c>
      <c r="I69" t="str">
        <f t="shared" ca="1" si="2"/>
        <v>splňuje</v>
      </c>
      <c r="J69" t="str">
        <f t="shared" ca="1" si="3"/>
        <v>víc než 20</v>
      </c>
      <c r="K69" t="s">
        <v>399</v>
      </c>
      <c r="L69">
        <f t="shared" si="4"/>
        <v>3</v>
      </c>
      <c r="M69" t="s">
        <v>465</v>
      </c>
      <c r="N69">
        <f t="shared" si="5"/>
        <v>4</v>
      </c>
      <c r="O69" t="str">
        <f t="shared" si="6"/>
        <v>překračuje</v>
      </c>
      <c r="P69" t="s">
        <v>488</v>
      </c>
      <c r="Q69" t="s">
        <v>405</v>
      </c>
      <c r="R69" t="s">
        <v>506</v>
      </c>
      <c r="S69">
        <v>8276</v>
      </c>
    </row>
    <row r="70" spans="1:19" x14ac:dyDescent="0.3">
      <c r="A70" s="82" t="s">
        <v>507</v>
      </c>
      <c r="B70" s="82" t="s">
        <v>448</v>
      </c>
      <c r="C70" s="82" t="s">
        <v>387</v>
      </c>
      <c r="D70" s="83">
        <v>17718</v>
      </c>
      <c r="E70">
        <f t="shared" ca="1" si="0"/>
        <v>74</v>
      </c>
      <c r="F70" s="83">
        <v>30292</v>
      </c>
      <c r="G70">
        <f t="shared" ca="1" si="1"/>
        <v>40</v>
      </c>
      <c r="H70">
        <v>15</v>
      </c>
      <c r="I70" t="str">
        <f t="shared" ca="1" si="2"/>
        <v>splňuje</v>
      </c>
      <c r="J70" t="str">
        <f t="shared" ca="1" si="3"/>
        <v>víc než 20</v>
      </c>
      <c r="K70" t="s">
        <v>399</v>
      </c>
      <c r="L70">
        <f t="shared" si="4"/>
        <v>3</v>
      </c>
      <c r="M70" t="s">
        <v>465</v>
      </c>
      <c r="N70">
        <f t="shared" si="5"/>
        <v>4</v>
      </c>
      <c r="O70" t="str">
        <f t="shared" si="6"/>
        <v>překračuje</v>
      </c>
      <c r="P70" t="s">
        <v>488</v>
      </c>
      <c r="Q70" t="s">
        <v>405</v>
      </c>
      <c r="R70" t="s">
        <v>506</v>
      </c>
      <c r="S70">
        <v>11099</v>
      </c>
    </row>
    <row r="71" spans="1:19" x14ac:dyDescent="0.3">
      <c r="A71" s="82" t="s">
        <v>508</v>
      </c>
      <c r="B71" s="82" t="s">
        <v>268</v>
      </c>
      <c r="C71" s="82" t="s">
        <v>380</v>
      </c>
      <c r="D71" s="83">
        <v>17126</v>
      </c>
      <c r="E71">
        <f t="shared" ref="E71:E102" ca="1" si="7">INT((TODAY()-D71)/365)</f>
        <v>76</v>
      </c>
      <c r="F71" s="83">
        <v>26219</v>
      </c>
      <c r="G71">
        <f t="shared" ref="G71:G102" ca="1" si="8">INT((TODAY()-F71)/365)</f>
        <v>51</v>
      </c>
      <c r="H71">
        <v>2</v>
      </c>
      <c r="I71" t="str">
        <f t="shared" ref="I71:I102" ca="1" si="9">IF(H71&lt;=G71,"splňuje","nesplňuje")</f>
        <v>splňuje</v>
      </c>
      <c r="J71" t="str">
        <f t="shared" ref="J71:J105" ca="1" si="10">IF(G71&lt;=5,"méně než 5",IF(G71&lt;=10,"5-10",IF(G71&lt;=20,"10-20","víc než 20")))</f>
        <v>víc než 20</v>
      </c>
      <c r="K71" t="s">
        <v>381</v>
      </c>
      <c r="L71">
        <f t="shared" ref="L71:L102" si="11">IF(K71="Z",1,IF(K71="VYUČ",2,IF(K71="SŠ",3,4)))</f>
        <v>2</v>
      </c>
      <c r="M71" t="s">
        <v>381</v>
      </c>
      <c r="N71">
        <f t="shared" ref="N71:N102" si="12">IF(M71="Z",1,IF(M71="VYUČ",2,IF(M71="SŠ",3,4)))</f>
        <v>2</v>
      </c>
      <c r="O71" t="str">
        <f t="shared" ref="O71:O102" si="13">IF(N71=L71,"splňuje",IF(N71&lt;L71,"nesplňuje","překračuje"))</f>
        <v>splňuje</v>
      </c>
      <c r="P71" t="s">
        <v>488</v>
      </c>
      <c r="Q71" t="s">
        <v>383</v>
      </c>
      <c r="R71" t="s">
        <v>400</v>
      </c>
      <c r="S71">
        <v>9770</v>
      </c>
    </row>
    <row r="72" spans="1:19" x14ac:dyDescent="0.3">
      <c r="A72" s="82" t="s">
        <v>509</v>
      </c>
      <c r="B72" s="82" t="s">
        <v>510</v>
      </c>
      <c r="C72" s="82" t="s">
        <v>380</v>
      </c>
      <c r="D72" s="83">
        <v>15751</v>
      </c>
      <c r="E72">
        <f t="shared" ca="1" si="7"/>
        <v>80</v>
      </c>
      <c r="F72" s="83">
        <v>29143</v>
      </c>
      <c r="G72">
        <f t="shared" ca="1" si="8"/>
        <v>43</v>
      </c>
      <c r="H72">
        <v>5</v>
      </c>
      <c r="I72" t="str">
        <f t="shared" ca="1" si="9"/>
        <v>splňuje</v>
      </c>
      <c r="J72" t="str">
        <f t="shared" ca="1" si="10"/>
        <v>víc než 20</v>
      </c>
      <c r="K72" t="s">
        <v>399</v>
      </c>
      <c r="L72">
        <f t="shared" si="11"/>
        <v>3</v>
      </c>
      <c r="M72" t="s">
        <v>399</v>
      </c>
      <c r="N72">
        <f t="shared" si="12"/>
        <v>3</v>
      </c>
      <c r="O72" t="str">
        <f t="shared" si="13"/>
        <v>splňuje</v>
      </c>
      <c r="P72" t="s">
        <v>488</v>
      </c>
      <c r="Q72" t="s">
        <v>405</v>
      </c>
      <c r="R72" t="s">
        <v>500</v>
      </c>
      <c r="S72">
        <v>10639</v>
      </c>
    </row>
    <row r="73" spans="1:19" x14ac:dyDescent="0.3">
      <c r="A73" s="82" t="s">
        <v>252</v>
      </c>
      <c r="B73" s="82" t="s">
        <v>195</v>
      </c>
      <c r="C73" s="82" t="s">
        <v>387</v>
      </c>
      <c r="D73" s="83">
        <v>15350</v>
      </c>
      <c r="E73">
        <f t="shared" ca="1" si="7"/>
        <v>81</v>
      </c>
      <c r="F73" s="83">
        <v>25760</v>
      </c>
      <c r="G73">
        <f t="shared" ca="1" si="8"/>
        <v>52</v>
      </c>
      <c r="H73">
        <v>20</v>
      </c>
      <c r="I73" t="str">
        <f t="shared" ca="1" si="9"/>
        <v>splňuje</v>
      </c>
      <c r="J73" t="str">
        <f t="shared" ca="1" si="10"/>
        <v>víc než 20</v>
      </c>
      <c r="K73" t="s">
        <v>399</v>
      </c>
      <c r="L73">
        <f t="shared" si="11"/>
        <v>3</v>
      </c>
      <c r="M73" t="s">
        <v>465</v>
      </c>
      <c r="N73">
        <f t="shared" si="12"/>
        <v>4</v>
      </c>
      <c r="O73" t="str">
        <f t="shared" si="13"/>
        <v>překračuje</v>
      </c>
      <c r="P73" t="s">
        <v>488</v>
      </c>
      <c r="Q73" t="s">
        <v>405</v>
      </c>
      <c r="R73" t="s">
        <v>511</v>
      </c>
      <c r="S73">
        <v>12156</v>
      </c>
    </row>
    <row r="74" spans="1:19" x14ac:dyDescent="0.3">
      <c r="A74" s="82" t="s">
        <v>512</v>
      </c>
      <c r="B74" s="82" t="s">
        <v>513</v>
      </c>
      <c r="C74" s="82" t="s">
        <v>380</v>
      </c>
      <c r="D74" s="83">
        <v>27901</v>
      </c>
      <c r="E74">
        <f t="shared" ca="1" si="7"/>
        <v>46</v>
      </c>
      <c r="F74" s="83">
        <v>35548</v>
      </c>
      <c r="G74">
        <f t="shared" ca="1" si="8"/>
        <v>25</v>
      </c>
      <c r="H74">
        <v>0</v>
      </c>
      <c r="I74" t="str">
        <f t="shared" ca="1" si="9"/>
        <v>splňuje</v>
      </c>
      <c r="J74" t="str">
        <f t="shared" ca="1" si="10"/>
        <v>víc než 20</v>
      </c>
      <c r="K74" t="s">
        <v>390</v>
      </c>
      <c r="L74">
        <f t="shared" si="11"/>
        <v>1</v>
      </c>
      <c r="M74" t="s">
        <v>390</v>
      </c>
      <c r="N74">
        <f t="shared" si="12"/>
        <v>1</v>
      </c>
      <c r="O74" t="str">
        <f t="shared" si="13"/>
        <v>splňuje</v>
      </c>
      <c r="P74" t="s">
        <v>514</v>
      </c>
      <c r="Q74" t="s">
        <v>383</v>
      </c>
      <c r="R74" t="s">
        <v>491</v>
      </c>
      <c r="S74">
        <v>11973</v>
      </c>
    </row>
    <row r="75" spans="1:19" x14ac:dyDescent="0.3">
      <c r="A75" s="82" t="s">
        <v>515</v>
      </c>
      <c r="B75" s="82" t="s">
        <v>386</v>
      </c>
      <c r="C75" s="82" t="s">
        <v>387</v>
      </c>
      <c r="D75" s="83">
        <v>27014</v>
      </c>
      <c r="E75">
        <f t="shared" ca="1" si="7"/>
        <v>49</v>
      </c>
      <c r="F75" s="83">
        <v>34932</v>
      </c>
      <c r="G75">
        <f t="shared" ca="1" si="8"/>
        <v>27</v>
      </c>
      <c r="H75">
        <v>2</v>
      </c>
      <c r="I75" t="str">
        <f t="shared" ca="1" si="9"/>
        <v>splňuje</v>
      </c>
      <c r="J75" t="str">
        <f t="shared" ca="1" si="10"/>
        <v>víc než 20</v>
      </c>
      <c r="K75" t="s">
        <v>381</v>
      </c>
      <c r="L75">
        <f t="shared" si="11"/>
        <v>2</v>
      </c>
      <c r="M75" t="s">
        <v>381</v>
      </c>
      <c r="N75">
        <f t="shared" si="12"/>
        <v>2</v>
      </c>
      <c r="O75" t="str">
        <f t="shared" si="13"/>
        <v>splňuje</v>
      </c>
      <c r="P75" t="s">
        <v>514</v>
      </c>
      <c r="Q75" t="s">
        <v>383</v>
      </c>
      <c r="R75" t="s">
        <v>516</v>
      </c>
      <c r="S75">
        <v>13409</v>
      </c>
    </row>
    <row r="76" spans="1:19" x14ac:dyDescent="0.3">
      <c r="A76" s="82" t="s">
        <v>517</v>
      </c>
      <c r="B76" s="82" t="s">
        <v>518</v>
      </c>
      <c r="C76" s="82" t="s">
        <v>387</v>
      </c>
      <c r="D76" s="83">
        <v>26258</v>
      </c>
      <c r="E76">
        <f t="shared" ca="1" si="7"/>
        <v>51</v>
      </c>
      <c r="F76" s="83">
        <v>34220</v>
      </c>
      <c r="G76">
        <f t="shared" ca="1" si="8"/>
        <v>29</v>
      </c>
      <c r="H76">
        <v>5</v>
      </c>
      <c r="I76" t="str">
        <f t="shared" ca="1" si="9"/>
        <v>splňuje</v>
      </c>
      <c r="J76" t="str">
        <f t="shared" ca="1" si="10"/>
        <v>víc než 20</v>
      </c>
      <c r="K76" t="s">
        <v>390</v>
      </c>
      <c r="L76">
        <f t="shared" si="11"/>
        <v>1</v>
      </c>
      <c r="M76" t="s">
        <v>390</v>
      </c>
      <c r="N76">
        <f t="shared" si="12"/>
        <v>1</v>
      </c>
      <c r="O76" t="str">
        <f t="shared" si="13"/>
        <v>splňuje</v>
      </c>
      <c r="P76" t="s">
        <v>514</v>
      </c>
      <c r="Q76" t="s">
        <v>383</v>
      </c>
      <c r="R76" t="s">
        <v>483</v>
      </c>
      <c r="S76">
        <v>10481</v>
      </c>
    </row>
    <row r="77" spans="1:19" x14ac:dyDescent="0.3">
      <c r="A77" s="82" t="s">
        <v>519</v>
      </c>
      <c r="B77" s="82" t="s">
        <v>266</v>
      </c>
      <c r="C77" s="82" t="s">
        <v>387</v>
      </c>
      <c r="D77" s="83">
        <v>26316</v>
      </c>
      <c r="E77">
        <f t="shared" ca="1" si="7"/>
        <v>51</v>
      </c>
      <c r="F77" s="83">
        <v>35301</v>
      </c>
      <c r="G77">
        <f t="shared" ca="1" si="8"/>
        <v>26</v>
      </c>
      <c r="H77">
        <v>4</v>
      </c>
      <c r="I77" t="str">
        <f t="shared" ca="1" si="9"/>
        <v>splňuje</v>
      </c>
      <c r="J77" t="str">
        <f t="shared" ca="1" si="10"/>
        <v>víc než 20</v>
      </c>
      <c r="K77" t="s">
        <v>390</v>
      </c>
      <c r="L77">
        <f t="shared" si="11"/>
        <v>1</v>
      </c>
      <c r="M77" t="s">
        <v>381</v>
      </c>
      <c r="N77">
        <f t="shared" si="12"/>
        <v>2</v>
      </c>
      <c r="O77" t="str">
        <f t="shared" si="13"/>
        <v>překračuje</v>
      </c>
      <c r="P77" t="s">
        <v>514</v>
      </c>
      <c r="Q77" t="s">
        <v>383</v>
      </c>
      <c r="R77" t="s">
        <v>520</v>
      </c>
      <c r="S77">
        <v>14458</v>
      </c>
    </row>
    <row r="78" spans="1:19" x14ac:dyDescent="0.3">
      <c r="A78" s="82" t="s">
        <v>521</v>
      </c>
      <c r="B78" s="82" t="s">
        <v>386</v>
      </c>
      <c r="C78" s="82" t="s">
        <v>387</v>
      </c>
      <c r="D78" s="83">
        <v>26092</v>
      </c>
      <c r="E78">
        <f t="shared" ca="1" si="7"/>
        <v>51</v>
      </c>
      <c r="F78" s="83">
        <v>35179</v>
      </c>
      <c r="G78">
        <f t="shared" ca="1" si="8"/>
        <v>26</v>
      </c>
      <c r="H78">
        <v>2</v>
      </c>
      <c r="I78" t="str">
        <f t="shared" ca="1" si="9"/>
        <v>splňuje</v>
      </c>
      <c r="J78" t="str">
        <f t="shared" ca="1" si="10"/>
        <v>víc než 20</v>
      </c>
      <c r="K78" t="s">
        <v>381</v>
      </c>
      <c r="L78">
        <f t="shared" si="11"/>
        <v>2</v>
      </c>
      <c r="M78" t="s">
        <v>381</v>
      </c>
      <c r="N78">
        <f t="shared" si="12"/>
        <v>2</v>
      </c>
      <c r="O78" t="str">
        <f t="shared" si="13"/>
        <v>splňuje</v>
      </c>
      <c r="P78" t="s">
        <v>514</v>
      </c>
      <c r="Q78" t="s">
        <v>383</v>
      </c>
      <c r="R78" t="s">
        <v>516</v>
      </c>
      <c r="S78">
        <v>13485</v>
      </c>
    </row>
    <row r="79" spans="1:19" x14ac:dyDescent="0.3">
      <c r="A79" s="82" t="s">
        <v>522</v>
      </c>
      <c r="B79" s="82" t="s">
        <v>429</v>
      </c>
      <c r="C79" s="82" t="s">
        <v>387</v>
      </c>
      <c r="D79" s="83">
        <v>25526</v>
      </c>
      <c r="E79">
        <f t="shared" ca="1" si="7"/>
        <v>53</v>
      </c>
      <c r="F79" s="83">
        <v>35194</v>
      </c>
      <c r="G79">
        <f t="shared" ca="1" si="8"/>
        <v>26</v>
      </c>
      <c r="H79">
        <v>5</v>
      </c>
      <c r="I79" t="str">
        <f t="shared" ca="1" si="9"/>
        <v>splňuje</v>
      </c>
      <c r="J79" t="str">
        <f t="shared" ca="1" si="10"/>
        <v>víc než 20</v>
      </c>
      <c r="K79" t="s">
        <v>390</v>
      </c>
      <c r="L79">
        <f t="shared" si="11"/>
        <v>1</v>
      </c>
      <c r="M79" t="s">
        <v>390</v>
      </c>
      <c r="N79">
        <f t="shared" si="12"/>
        <v>1</v>
      </c>
      <c r="O79" t="str">
        <f t="shared" si="13"/>
        <v>splňuje</v>
      </c>
      <c r="P79" t="s">
        <v>514</v>
      </c>
      <c r="Q79" t="s">
        <v>383</v>
      </c>
      <c r="R79" t="s">
        <v>523</v>
      </c>
      <c r="S79">
        <v>13973</v>
      </c>
    </row>
    <row r="80" spans="1:19" x14ac:dyDescent="0.3">
      <c r="A80" s="82" t="s">
        <v>524</v>
      </c>
      <c r="B80" s="82" t="s">
        <v>525</v>
      </c>
      <c r="C80" s="82" t="s">
        <v>387</v>
      </c>
      <c r="D80" s="83">
        <v>25534</v>
      </c>
      <c r="E80">
        <f t="shared" ca="1" si="7"/>
        <v>53</v>
      </c>
      <c r="F80" s="83">
        <v>35961</v>
      </c>
      <c r="G80">
        <f t="shared" ca="1" si="8"/>
        <v>24</v>
      </c>
      <c r="H80">
        <v>2</v>
      </c>
      <c r="I80" t="str">
        <f t="shared" ca="1" si="9"/>
        <v>splňuje</v>
      </c>
      <c r="J80" t="str">
        <f t="shared" ca="1" si="10"/>
        <v>víc než 20</v>
      </c>
      <c r="K80" t="s">
        <v>381</v>
      </c>
      <c r="L80">
        <f t="shared" si="11"/>
        <v>2</v>
      </c>
      <c r="M80" t="s">
        <v>381</v>
      </c>
      <c r="N80">
        <f t="shared" si="12"/>
        <v>2</v>
      </c>
      <c r="O80" t="str">
        <f t="shared" si="13"/>
        <v>splňuje</v>
      </c>
      <c r="P80" t="s">
        <v>514</v>
      </c>
      <c r="Q80" t="s">
        <v>383</v>
      </c>
      <c r="R80" t="s">
        <v>516</v>
      </c>
      <c r="S80">
        <v>10260</v>
      </c>
    </row>
    <row r="81" spans="1:19" x14ac:dyDescent="0.3">
      <c r="A81" s="82" t="s">
        <v>526</v>
      </c>
      <c r="B81" s="82" t="s">
        <v>268</v>
      </c>
      <c r="C81" s="82" t="s">
        <v>380</v>
      </c>
      <c r="D81" s="83">
        <v>25329</v>
      </c>
      <c r="E81">
        <f t="shared" ca="1" si="7"/>
        <v>53</v>
      </c>
      <c r="F81" s="83">
        <v>34461</v>
      </c>
      <c r="G81">
        <f t="shared" ca="1" si="8"/>
        <v>28</v>
      </c>
      <c r="H81">
        <v>4</v>
      </c>
      <c r="I81" t="str">
        <f t="shared" ca="1" si="9"/>
        <v>splňuje</v>
      </c>
      <c r="J81" t="str">
        <f t="shared" ca="1" si="10"/>
        <v>víc než 20</v>
      </c>
      <c r="K81" t="s">
        <v>381</v>
      </c>
      <c r="L81">
        <f t="shared" si="11"/>
        <v>2</v>
      </c>
      <c r="M81" t="s">
        <v>381</v>
      </c>
      <c r="N81">
        <f t="shared" si="12"/>
        <v>2</v>
      </c>
      <c r="O81" t="str">
        <f t="shared" si="13"/>
        <v>splňuje</v>
      </c>
      <c r="P81" t="s">
        <v>514</v>
      </c>
      <c r="Q81" t="s">
        <v>383</v>
      </c>
      <c r="R81" t="s">
        <v>520</v>
      </c>
      <c r="S81">
        <v>11474</v>
      </c>
    </row>
    <row r="82" spans="1:19" x14ac:dyDescent="0.3">
      <c r="A82" s="82" t="s">
        <v>527</v>
      </c>
      <c r="B82" s="82" t="s">
        <v>195</v>
      </c>
      <c r="C82" s="82" t="s">
        <v>387</v>
      </c>
      <c r="D82" s="83">
        <v>24340</v>
      </c>
      <c r="E82">
        <f t="shared" ca="1" si="7"/>
        <v>56</v>
      </c>
      <c r="F82" s="83">
        <v>31909</v>
      </c>
      <c r="G82">
        <f t="shared" ca="1" si="8"/>
        <v>35</v>
      </c>
      <c r="H82">
        <v>0</v>
      </c>
      <c r="I82" t="str">
        <f t="shared" ca="1" si="9"/>
        <v>splňuje</v>
      </c>
      <c r="J82" t="str">
        <f t="shared" ca="1" si="10"/>
        <v>víc než 20</v>
      </c>
      <c r="K82" t="s">
        <v>390</v>
      </c>
      <c r="L82">
        <f t="shared" si="11"/>
        <v>1</v>
      </c>
      <c r="M82" t="s">
        <v>390</v>
      </c>
      <c r="N82">
        <f t="shared" si="12"/>
        <v>1</v>
      </c>
      <c r="O82" t="str">
        <f t="shared" si="13"/>
        <v>splňuje</v>
      </c>
      <c r="P82" t="s">
        <v>514</v>
      </c>
      <c r="Q82" t="s">
        <v>383</v>
      </c>
      <c r="R82" t="s">
        <v>528</v>
      </c>
      <c r="S82">
        <v>14180</v>
      </c>
    </row>
    <row r="83" spans="1:19" x14ac:dyDescent="0.3">
      <c r="A83" s="82" t="s">
        <v>529</v>
      </c>
      <c r="B83" s="82" t="s">
        <v>530</v>
      </c>
      <c r="C83" s="82" t="s">
        <v>387</v>
      </c>
      <c r="D83" s="83">
        <v>24327</v>
      </c>
      <c r="E83">
        <f t="shared" ca="1" si="7"/>
        <v>56</v>
      </c>
      <c r="F83" s="83">
        <v>35094</v>
      </c>
      <c r="G83">
        <f t="shared" ca="1" si="8"/>
        <v>27</v>
      </c>
      <c r="H83">
        <v>2</v>
      </c>
      <c r="I83" t="str">
        <f t="shared" ca="1" si="9"/>
        <v>splňuje</v>
      </c>
      <c r="J83" t="str">
        <f t="shared" ca="1" si="10"/>
        <v>víc než 20</v>
      </c>
      <c r="K83" t="s">
        <v>381</v>
      </c>
      <c r="L83">
        <f t="shared" si="11"/>
        <v>2</v>
      </c>
      <c r="M83" t="s">
        <v>381</v>
      </c>
      <c r="N83">
        <f t="shared" si="12"/>
        <v>2</v>
      </c>
      <c r="O83" t="str">
        <f t="shared" si="13"/>
        <v>splňuje</v>
      </c>
      <c r="P83" t="s">
        <v>514</v>
      </c>
      <c r="Q83" t="s">
        <v>383</v>
      </c>
      <c r="R83" t="s">
        <v>531</v>
      </c>
      <c r="S83">
        <v>10336</v>
      </c>
    </row>
    <row r="84" spans="1:19" x14ac:dyDescent="0.3">
      <c r="A84" s="82" t="s">
        <v>532</v>
      </c>
      <c r="B84" s="82" t="s">
        <v>533</v>
      </c>
      <c r="C84" s="82" t="s">
        <v>387</v>
      </c>
      <c r="D84" s="83">
        <v>23599</v>
      </c>
      <c r="E84">
        <f t="shared" ca="1" si="7"/>
        <v>58</v>
      </c>
      <c r="F84" s="83">
        <v>32412</v>
      </c>
      <c r="G84">
        <f t="shared" ca="1" si="8"/>
        <v>34</v>
      </c>
      <c r="H84">
        <v>5</v>
      </c>
      <c r="I84" t="str">
        <f t="shared" ca="1" si="9"/>
        <v>splňuje</v>
      </c>
      <c r="J84" t="str">
        <f t="shared" ca="1" si="10"/>
        <v>víc než 20</v>
      </c>
      <c r="K84" t="s">
        <v>381</v>
      </c>
      <c r="L84">
        <f t="shared" si="11"/>
        <v>2</v>
      </c>
      <c r="M84" t="s">
        <v>390</v>
      </c>
      <c r="N84">
        <f t="shared" si="12"/>
        <v>1</v>
      </c>
      <c r="O84" t="str">
        <f t="shared" si="13"/>
        <v>nesplňuje</v>
      </c>
      <c r="P84" t="s">
        <v>514</v>
      </c>
      <c r="Q84" t="s">
        <v>383</v>
      </c>
      <c r="R84" t="s">
        <v>523</v>
      </c>
      <c r="S84">
        <v>14303</v>
      </c>
    </row>
    <row r="85" spans="1:19" x14ac:dyDescent="0.3">
      <c r="A85" s="82" t="s">
        <v>534</v>
      </c>
      <c r="B85" s="82" t="s">
        <v>535</v>
      </c>
      <c r="C85" s="82" t="s">
        <v>380</v>
      </c>
      <c r="D85" s="83">
        <v>23234</v>
      </c>
      <c r="E85">
        <f t="shared" ca="1" si="7"/>
        <v>59</v>
      </c>
      <c r="F85" s="83">
        <v>33900</v>
      </c>
      <c r="G85">
        <f t="shared" ca="1" si="8"/>
        <v>30</v>
      </c>
      <c r="H85">
        <v>0</v>
      </c>
      <c r="I85" t="str">
        <f t="shared" ca="1" si="9"/>
        <v>splňuje</v>
      </c>
      <c r="J85" t="str">
        <f t="shared" ca="1" si="10"/>
        <v>víc než 20</v>
      </c>
      <c r="K85" t="s">
        <v>390</v>
      </c>
      <c r="L85">
        <f t="shared" si="11"/>
        <v>1</v>
      </c>
      <c r="M85" t="s">
        <v>390</v>
      </c>
      <c r="N85">
        <f t="shared" si="12"/>
        <v>1</v>
      </c>
      <c r="O85" t="str">
        <f t="shared" si="13"/>
        <v>splňuje</v>
      </c>
      <c r="P85" t="s">
        <v>514</v>
      </c>
      <c r="Q85" t="s">
        <v>383</v>
      </c>
      <c r="R85" t="s">
        <v>491</v>
      </c>
      <c r="S85">
        <v>13286</v>
      </c>
    </row>
    <row r="86" spans="1:19" x14ac:dyDescent="0.3">
      <c r="A86" s="82" t="s">
        <v>536</v>
      </c>
      <c r="B86" s="82" t="s">
        <v>485</v>
      </c>
      <c r="C86" s="82" t="s">
        <v>387</v>
      </c>
      <c r="D86" s="83">
        <v>22943</v>
      </c>
      <c r="E86">
        <f t="shared" ca="1" si="7"/>
        <v>60</v>
      </c>
      <c r="F86" s="83">
        <v>33139</v>
      </c>
      <c r="G86">
        <f t="shared" ca="1" si="8"/>
        <v>32</v>
      </c>
      <c r="H86">
        <v>2</v>
      </c>
      <c r="I86" t="str">
        <f t="shared" ca="1" si="9"/>
        <v>splňuje</v>
      </c>
      <c r="J86" t="str">
        <f t="shared" ca="1" si="10"/>
        <v>víc než 20</v>
      </c>
      <c r="K86" t="s">
        <v>381</v>
      </c>
      <c r="L86">
        <f t="shared" si="11"/>
        <v>2</v>
      </c>
      <c r="M86" t="s">
        <v>381</v>
      </c>
      <c r="N86">
        <f t="shared" si="12"/>
        <v>2</v>
      </c>
      <c r="O86" t="str">
        <f t="shared" si="13"/>
        <v>splňuje</v>
      </c>
      <c r="P86" t="s">
        <v>514</v>
      </c>
      <c r="Q86" t="s">
        <v>383</v>
      </c>
      <c r="R86" t="s">
        <v>531</v>
      </c>
      <c r="S86">
        <v>8811</v>
      </c>
    </row>
    <row r="87" spans="1:19" x14ac:dyDescent="0.3">
      <c r="A87" s="82" t="s">
        <v>537</v>
      </c>
      <c r="B87" s="82" t="s">
        <v>538</v>
      </c>
      <c r="C87" s="82" t="s">
        <v>380</v>
      </c>
      <c r="D87" s="83">
        <v>22866</v>
      </c>
      <c r="E87">
        <f t="shared" ca="1" si="7"/>
        <v>60</v>
      </c>
      <c r="F87" s="83">
        <v>33792</v>
      </c>
      <c r="G87">
        <f t="shared" ca="1" si="8"/>
        <v>30</v>
      </c>
      <c r="H87">
        <v>0</v>
      </c>
      <c r="I87" t="str">
        <f t="shared" ca="1" si="9"/>
        <v>splňuje</v>
      </c>
      <c r="J87" t="str">
        <f t="shared" ca="1" si="10"/>
        <v>víc než 20</v>
      </c>
      <c r="K87" t="s">
        <v>390</v>
      </c>
      <c r="L87">
        <f t="shared" si="11"/>
        <v>1</v>
      </c>
      <c r="M87" t="s">
        <v>390</v>
      </c>
      <c r="N87">
        <f t="shared" si="12"/>
        <v>1</v>
      </c>
      <c r="O87" t="str">
        <f t="shared" si="13"/>
        <v>splňuje</v>
      </c>
      <c r="P87" t="s">
        <v>514</v>
      </c>
      <c r="Q87" t="s">
        <v>383</v>
      </c>
      <c r="R87" t="s">
        <v>539</v>
      </c>
      <c r="S87">
        <v>9404</v>
      </c>
    </row>
    <row r="88" spans="1:19" x14ac:dyDescent="0.3">
      <c r="A88" s="82" t="s">
        <v>540</v>
      </c>
      <c r="B88" s="82" t="s">
        <v>482</v>
      </c>
      <c r="C88" s="82" t="s">
        <v>387</v>
      </c>
      <c r="D88" s="83">
        <v>22329</v>
      </c>
      <c r="E88">
        <f t="shared" ca="1" si="7"/>
        <v>62</v>
      </c>
      <c r="F88" s="83">
        <v>31152</v>
      </c>
      <c r="G88">
        <f t="shared" ca="1" si="8"/>
        <v>37</v>
      </c>
      <c r="H88">
        <v>2</v>
      </c>
      <c r="I88" t="str">
        <f t="shared" ca="1" si="9"/>
        <v>splňuje</v>
      </c>
      <c r="J88" t="str">
        <f t="shared" ca="1" si="10"/>
        <v>víc než 20</v>
      </c>
      <c r="K88" t="s">
        <v>381</v>
      </c>
      <c r="L88">
        <f t="shared" si="11"/>
        <v>2</v>
      </c>
      <c r="M88" t="s">
        <v>381</v>
      </c>
      <c r="N88">
        <f t="shared" si="12"/>
        <v>2</v>
      </c>
      <c r="O88" t="str">
        <f t="shared" si="13"/>
        <v>splňuje</v>
      </c>
      <c r="P88" t="s">
        <v>514</v>
      </c>
      <c r="Q88" t="s">
        <v>383</v>
      </c>
      <c r="R88" t="s">
        <v>516</v>
      </c>
      <c r="S88">
        <v>12875</v>
      </c>
    </row>
    <row r="89" spans="1:19" x14ac:dyDescent="0.3">
      <c r="A89" s="82" t="s">
        <v>541</v>
      </c>
      <c r="B89" s="82" t="s">
        <v>425</v>
      </c>
      <c r="C89" s="82" t="s">
        <v>387</v>
      </c>
      <c r="D89" s="83">
        <v>22379</v>
      </c>
      <c r="E89">
        <f t="shared" ca="1" si="7"/>
        <v>61</v>
      </c>
      <c r="F89" s="83">
        <v>31615</v>
      </c>
      <c r="G89">
        <f t="shared" ca="1" si="8"/>
        <v>36</v>
      </c>
      <c r="H89">
        <v>2</v>
      </c>
      <c r="I89" t="str">
        <f t="shared" ca="1" si="9"/>
        <v>splňuje</v>
      </c>
      <c r="J89" t="str">
        <f t="shared" ca="1" si="10"/>
        <v>víc než 20</v>
      </c>
      <c r="K89" t="s">
        <v>381</v>
      </c>
      <c r="L89">
        <f t="shared" si="11"/>
        <v>2</v>
      </c>
      <c r="M89" t="s">
        <v>381</v>
      </c>
      <c r="N89">
        <f t="shared" si="12"/>
        <v>2</v>
      </c>
      <c r="O89" t="str">
        <f t="shared" si="13"/>
        <v>splňuje</v>
      </c>
      <c r="P89" t="s">
        <v>514</v>
      </c>
      <c r="Q89" t="s">
        <v>383</v>
      </c>
      <c r="R89" t="s">
        <v>516</v>
      </c>
      <c r="S89">
        <v>11301</v>
      </c>
    </row>
    <row r="90" spans="1:19" x14ac:dyDescent="0.3">
      <c r="A90" s="82" t="s">
        <v>542</v>
      </c>
      <c r="B90" s="82" t="s">
        <v>543</v>
      </c>
      <c r="C90" s="82" t="s">
        <v>387</v>
      </c>
      <c r="D90" s="83">
        <v>22190</v>
      </c>
      <c r="E90">
        <f t="shared" ca="1" si="7"/>
        <v>62</v>
      </c>
      <c r="F90" s="83">
        <v>32033</v>
      </c>
      <c r="G90">
        <f t="shared" ca="1" si="8"/>
        <v>35</v>
      </c>
      <c r="H90">
        <v>15</v>
      </c>
      <c r="I90" t="str">
        <f t="shared" ca="1" si="9"/>
        <v>splňuje</v>
      </c>
      <c r="J90" t="str">
        <f t="shared" ca="1" si="10"/>
        <v>víc než 20</v>
      </c>
      <c r="K90" t="s">
        <v>465</v>
      </c>
      <c r="L90">
        <f t="shared" si="11"/>
        <v>4</v>
      </c>
      <c r="M90" t="s">
        <v>465</v>
      </c>
      <c r="N90">
        <f t="shared" si="12"/>
        <v>4</v>
      </c>
      <c r="O90" t="str">
        <f t="shared" si="13"/>
        <v>splňuje</v>
      </c>
      <c r="P90" t="s">
        <v>514</v>
      </c>
      <c r="Q90" t="s">
        <v>405</v>
      </c>
      <c r="R90" t="s">
        <v>544</v>
      </c>
      <c r="S90">
        <v>11023</v>
      </c>
    </row>
    <row r="91" spans="1:19" x14ac:dyDescent="0.3">
      <c r="A91" s="82" t="s">
        <v>545</v>
      </c>
      <c r="B91" s="82" t="s">
        <v>201</v>
      </c>
      <c r="C91" s="82" t="s">
        <v>387</v>
      </c>
      <c r="D91" s="83">
        <v>22297</v>
      </c>
      <c r="E91">
        <f t="shared" ca="1" si="7"/>
        <v>62</v>
      </c>
      <c r="F91" s="83">
        <v>32371</v>
      </c>
      <c r="G91">
        <f t="shared" ca="1" si="8"/>
        <v>34</v>
      </c>
      <c r="H91">
        <v>15</v>
      </c>
      <c r="I91" t="str">
        <f t="shared" ca="1" si="9"/>
        <v>splňuje</v>
      </c>
      <c r="J91" t="str">
        <f t="shared" ca="1" si="10"/>
        <v>víc než 20</v>
      </c>
      <c r="K91" t="s">
        <v>381</v>
      </c>
      <c r="L91">
        <f t="shared" si="11"/>
        <v>2</v>
      </c>
      <c r="M91" t="s">
        <v>465</v>
      </c>
      <c r="N91">
        <f t="shared" si="12"/>
        <v>4</v>
      </c>
      <c r="O91" t="str">
        <f t="shared" si="13"/>
        <v>překračuje</v>
      </c>
      <c r="P91" t="s">
        <v>514</v>
      </c>
      <c r="Q91" t="s">
        <v>405</v>
      </c>
      <c r="R91" t="s">
        <v>546</v>
      </c>
      <c r="S91">
        <v>13719</v>
      </c>
    </row>
    <row r="92" spans="1:19" x14ac:dyDescent="0.3">
      <c r="A92" s="82" t="s">
        <v>547</v>
      </c>
      <c r="B92" s="82" t="s">
        <v>548</v>
      </c>
      <c r="C92" s="82" t="s">
        <v>387</v>
      </c>
      <c r="D92" s="83">
        <v>21905</v>
      </c>
      <c r="E92">
        <f t="shared" ca="1" si="7"/>
        <v>63</v>
      </c>
      <c r="F92" s="83">
        <v>29602</v>
      </c>
      <c r="G92">
        <f t="shared" ca="1" si="8"/>
        <v>42</v>
      </c>
      <c r="H92">
        <v>0</v>
      </c>
      <c r="I92" t="str">
        <f t="shared" ca="1" si="9"/>
        <v>splňuje</v>
      </c>
      <c r="J92" t="str">
        <f t="shared" ca="1" si="10"/>
        <v>víc než 20</v>
      </c>
      <c r="K92" t="s">
        <v>390</v>
      </c>
      <c r="L92">
        <f t="shared" si="11"/>
        <v>1</v>
      </c>
      <c r="M92" t="s">
        <v>390</v>
      </c>
      <c r="N92">
        <f t="shared" si="12"/>
        <v>1</v>
      </c>
      <c r="O92" t="str">
        <f t="shared" si="13"/>
        <v>splňuje</v>
      </c>
      <c r="P92" t="s">
        <v>514</v>
      </c>
      <c r="Q92" t="s">
        <v>383</v>
      </c>
      <c r="R92" t="s">
        <v>528</v>
      </c>
      <c r="S92">
        <v>8213</v>
      </c>
    </row>
    <row r="93" spans="1:19" x14ac:dyDescent="0.3">
      <c r="A93" s="82" t="s">
        <v>549</v>
      </c>
      <c r="B93" s="82" t="s">
        <v>550</v>
      </c>
      <c r="C93" s="82" t="s">
        <v>387</v>
      </c>
      <c r="D93" s="83">
        <v>21899</v>
      </c>
      <c r="E93">
        <f t="shared" ca="1" si="7"/>
        <v>63</v>
      </c>
      <c r="F93" s="83">
        <v>29925</v>
      </c>
      <c r="G93">
        <f t="shared" ca="1" si="8"/>
        <v>41</v>
      </c>
      <c r="H93">
        <v>4</v>
      </c>
      <c r="I93" t="str">
        <f t="shared" ca="1" si="9"/>
        <v>splňuje</v>
      </c>
      <c r="J93" t="str">
        <f t="shared" ca="1" si="10"/>
        <v>víc než 20</v>
      </c>
      <c r="K93" t="s">
        <v>381</v>
      </c>
      <c r="L93">
        <f t="shared" si="11"/>
        <v>2</v>
      </c>
      <c r="M93" t="s">
        <v>381</v>
      </c>
      <c r="N93">
        <f t="shared" si="12"/>
        <v>2</v>
      </c>
      <c r="O93" t="str">
        <f t="shared" si="13"/>
        <v>splňuje</v>
      </c>
      <c r="P93" t="s">
        <v>514</v>
      </c>
      <c r="Q93" t="s">
        <v>383</v>
      </c>
      <c r="R93" t="s">
        <v>520</v>
      </c>
      <c r="S93">
        <v>10134</v>
      </c>
    </row>
    <row r="94" spans="1:19" x14ac:dyDescent="0.3">
      <c r="A94" s="82" t="s">
        <v>551</v>
      </c>
      <c r="B94" s="82" t="s">
        <v>533</v>
      </c>
      <c r="C94" s="82" t="s">
        <v>387</v>
      </c>
      <c r="D94" s="83">
        <v>20598</v>
      </c>
      <c r="E94">
        <f t="shared" ca="1" si="7"/>
        <v>66</v>
      </c>
      <c r="F94" s="83">
        <v>30733</v>
      </c>
      <c r="G94">
        <f t="shared" ca="1" si="8"/>
        <v>38</v>
      </c>
      <c r="H94">
        <v>5</v>
      </c>
      <c r="I94" t="str">
        <f t="shared" ca="1" si="9"/>
        <v>splňuje</v>
      </c>
      <c r="J94" t="str">
        <f t="shared" ca="1" si="10"/>
        <v>víc než 20</v>
      </c>
      <c r="K94" t="s">
        <v>381</v>
      </c>
      <c r="L94">
        <f t="shared" si="11"/>
        <v>2</v>
      </c>
      <c r="M94" t="s">
        <v>390</v>
      </c>
      <c r="N94">
        <f t="shared" si="12"/>
        <v>1</v>
      </c>
      <c r="O94" t="str">
        <f t="shared" si="13"/>
        <v>nesplňuje</v>
      </c>
      <c r="P94" t="s">
        <v>514</v>
      </c>
      <c r="Q94" t="s">
        <v>383</v>
      </c>
      <c r="R94" t="s">
        <v>523</v>
      </c>
      <c r="S94">
        <v>13568</v>
      </c>
    </row>
    <row r="95" spans="1:19" x14ac:dyDescent="0.3">
      <c r="A95" s="82" t="s">
        <v>552</v>
      </c>
      <c r="B95" s="82" t="s">
        <v>195</v>
      </c>
      <c r="C95" s="82" t="s">
        <v>387</v>
      </c>
      <c r="D95" s="83">
        <v>20129</v>
      </c>
      <c r="E95">
        <f t="shared" ca="1" si="7"/>
        <v>68</v>
      </c>
      <c r="F95" s="83">
        <v>31278</v>
      </c>
      <c r="G95">
        <f t="shared" ca="1" si="8"/>
        <v>37</v>
      </c>
      <c r="H95">
        <v>15</v>
      </c>
      <c r="I95" t="str">
        <f t="shared" ca="1" si="9"/>
        <v>splňuje</v>
      </c>
      <c r="J95" t="str">
        <f t="shared" ca="1" si="10"/>
        <v>víc než 20</v>
      </c>
      <c r="K95" t="s">
        <v>399</v>
      </c>
      <c r="L95">
        <f t="shared" si="11"/>
        <v>3</v>
      </c>
      <c r="M95" t="s">
        <v>465</v>
      </c>
      <c r="N95">
        <f t="shared" si="12"/>
        <v>4</v>
      </c>
      <c r="O95" t="str">
        <f t="shared" si="13"/>
        <v>překračuje</v>
      </c>
      <c r="P95" t="s">
        <v>514</v>
      </c>
      <c r="Q95" t="s">
        <v>405</v>
      </c>
      <c r="R95" t="s">
        <v>553</v>
      </c>
      <c r="S95">
        <v>8308</v>
      </c>
    </row>
    <row r="96" spans="1:19" x14ac:dyDescent="0.3">
      <c r="A96" s="82" t="s">
        <v>554</v>
      </c>
      <c r="B96" s="82" t="s">
        <v>464</v>
      </c>
      <c r="C96" s="82" t="s">
        <v>387</v>
      </c>
      <c r="D96" s="83">
        <v>19253</v>
      </c>
      <c r="E96">
        <f t="shared" ca="1" si="7"/>
        <v>70</v>
      </c>
      <c r="F96" s="83">
        <v>32615</v>
      </c>
      <c r="G96">
        <f t="shared" ca="1" si="8"/>
        <v>33</v>
      </c>
      <c r="H96">
        <v>5</v>
      </c>
      <c r="I96" t="str">
        <f t="shared" ca="1" si="9"/>
        <v>splňuje</v>
      </c>
      <c r="J96" t="str">
        <f t="shared" ca="1" si="10"/>
        <v>víc než 20</v>
      </c>
      <c r="K96" t="s">
        <v>381</v>
      </c>
      <c r="L96">
        <f t="shared" si="11"/>
        <v>2</v>
      </c>
      <c r="M96" t="s">
        <v>381</v>
      </c>
      <c r="N96">
        <f t="shared" si="12"/>
        <v>2</v>
      </c>
      <c r="O96" t="str">
        <f t="shared" si="13"/>
        <v>splňuje</v>
      </c>
      <c r="P96" t="s">
        <v>514</v>
      </c>
      <c r="Q96" t="s">
        <v>383</v>
      </c>
      <c r="R96" t="s">
        <v>555</v>
      </c>
      <c r="S96">
        <v>13060</v>
      </c>
    </row>
    <row r="97" spans="1:19" x14ac:dyDescent="0.3">
      <c r="A97" s="82" t="s">
        <v>556</v>
      </c>
      <c r="B97" s="82" t="s">
        <v>513</v>
      </c>
      <c r="C97" s="82" t="s">
        <v>380</v>
      </c>
      <c r="D97" s="83">
        <v>17089</v>
      </c>
      <c r="E97">
        <f t="shared" ca="1" si="7"/>
        <v>76</v>
      </c>
      <c r="F97" s="83">
        <v>35404</v>
      </c>
      <c r="G97">
        <f t="shared" ca="1" si="8"/>
        <v>26</v>
      </c>
      <c r="H97">
        <v>5</v>
      </c>
      <c r="I97" t="str">
        <f t="shared" ca="1" si="9"/>
        <v>splňuje</v>
      </c>
      <c r="J97" t="str">
        <f t="shared" ca="1" si="10"/>
        <v>víc než 20</v>
      </c>
      <c r="K97" t="s">
        <v>381</v>
      </c>
      <c r="L97">
        <f t="shared" si="11"/>
        <v>2</v>
      </c>
      <c r="M97" t="s">
        <v>390</v>
      </c>
      <c r="N97">
        <f t="shared" si="12"/>
        <v>1</v>
      </c>
      <c r="O97" t="str">
        <f t="shared" si="13"/>
        <v>nesplňuje</v>
      </c>
      <c r="P97" t="s">
        <v>514</v>
      </c>
      <c r="Q97" t="s">
        <v>383</v>
      </c>
      <c r="R97" t="s">
        <v>483</v>
      </c>
      <c r="S97">
        <v>11128</v>
      </c>
    </row>
    <row r="98" spans="1:19" x14ac:dyDescent="0.3">
      <c r="A98" s="82" t="s">
        <v>557</v>
      </c>
      <c r="B98" s="82" t="s">
        <v>485</v>
      </c>
      <c r="C98" s="82" t="s">
        <v>387</v>
      </c>
      <c r="D98" s="83">
        <v>16774</v>
      </c>
      <c r="E98">
        <f t="shared" ca="1" si="7"/>
        <v>77</v>
      </c>
      <c r="F98" s="83">
        <v>25917</v>
      </c>
      <c r="G98">
        <f t="shared" ca="1" si="8"/>
        <v>52</v>
      </c>
      <c r="H98">
        <v>5</v>
      </c>
      <c r="I98" t="str">
        <f t="shared" ca="1" si="9"/>
        <v>splňuje</v>
      </c>
      <c r="J98" t="str">
        <f t="shared" ca="1" si="10"/>
        <v>víc než 20</v>
      </c>
      <c r="K98" t="s">
        <v>381</v>
      </c>
      <c r="L98">
        <f t="shared" si="11"/>
        <v>2</v>
      </c>
      <c r="M98" t="s">
        <v>381</v>
      </c>
      <c r="N98">
        <f t="shared" si="12"/>
        <v>2</v>
      </c>
      <c r="O98" t="str">
        <f t="shared" si="13"/>
        <v>splňuje</v>
      </c>
      <c r="P98" t="s">
        <v>514</v>
      </c>
      <c r="Q98" t="s">
        <v>383</v>
      </c>
      <c r="R98" t="s">
        <v>555</v>
      </c>
      <c r="S98">
        <v>11348</v>
      </c>
    </row>
    <row r="99" spans="1:19" x14ac:dyDescent="0.3">
      <c r="A99" s="82" t="s">
        <v>558</v>
      </c>
      <c r="B99" s="82" t="s">
        <v>559</v>
      </c>
      <c r="C99" s="82" t="s">
        <v>387</v>
      </c>
      <c r="D99" s="83">
        <v>16799</v>
      </c>
      <c r="E99">
        <f t="shared" ca="1" si="7"/>
        <v>77</v>
      </c>
      <c r="F99" s="83">
        <v>34595</v>
      </c>
      <c r="G99">
        <f t="shared" ca="1" si="8"/>
        <v>28</v>
      </c>
      <c r="H99">
        <v>2</v>
      </c>
      <c r="I99" t="str">
        <f t="shared" ca="1" si="9"/>
        <v>splňuje</v>
      </c>
      <c r="J99" t="str">
        <f t="shared" ca="1" si="10"/>
        <v>víc než 20</v>
      </c>
      <c r="K99" t="s">
        <v>381</v>
      </c>
      <c r="L99">
        <f t="shared" si="11"/>
        <v>2</v>
      </c>
      <c r="M99" t="s">
        <v>381</v>
      </c>
      <c r="N99">
        <f t="shared" si="12"/>
        <v>2</v>
      </c>
      <c r="O99" t="str">
        <f t="shared" si="13"/>
        <v>splňuje</v>
      </c>
      <c r="P99" t="s">
        <v>514</v>
      </c>
      <c r="Q99" t="s">
        <v>383</v>
      </c>
      <c r="R99" t="s">
        <v>516</v>
      </c>
      <c r="S99">
        <v>8599</v>
      </c>
    </row>
    <row r="100" spans="1:19" x14ac:dyDescent="0.3">
      <c r="A100" s="82" t="s">
        <v>560</v>
      </c>
      <c r="B100" s="82" t="s">
        <v>269</v>
      </c>
      <c r="C100" s="82" t="s">
        <v>387</v>
      </c>
      <c r="D100" s="83">
        <v>16604</v>
      </c>
      <c r="E100">
        <f t="shared" ca="1" si="7"/>
        <v>77</v>
      </c>
      <c r="F100" s="83">
        <v>34279</v>
      </c>
      <c r="G100">
        <f t="shared" ca="1" si="8"/>
        <v>29</v>
      </c>
      <c r="H100">
        <v>2</v>
      </c>
      <c r="I100" t="str">
        <f t="shared" ca="1" si="9"/>
        <v>splňuje</v>
      </c>
      <c r="J100" t="str">
        <f t="shared" ca="1" si="10"/>
        <v>víc než 20</v>
      </c>
      <c r="K100" t="s">
        <v>381</v>
      </c>
      <c r="L100">
        <f t="shared" si="11"/>
        <v>2</v>
      </c>
      <c r="M100" t="s">
        <v>381</v>
      </c>
      <c r="N100">
        <f t="shared" si="12"/>
        <v>2</v>
      </c>
      <c r="O100" t="str">
        <f t="shared" si="13"/>
        <v>splňuje</v>
      </c>
      <c r="P100" t="s">
        <v>514</v>
      </c>
      <c r="Q100" t="s">
        <v>383</v>
      </c>
      <c r="R100" t="s">
        <v>531</v>
      </c>
      <c r="S100">
        <v>12558</v>
      </c>
    </row>
    <row r="101" spans="1:19" x14ac:dyDescent="0.3">
      <c r="A101" s="82" t="s">
        <v>561</v>
      </c>
      <c r="B101" s="82" t="s">
        <v>510</v>
      </c>
      <c r="C101" s="82" t="s">
        <v>380</v>
      </c>
      <c r="D101" s="83">
        <v>16649</v>
      </c>
      <c r="E101">
        <f t="shared" ca="1" si="7"/>
        <v>77</v>
      </c>
      <c r="F101" s="83">
        <v>33952</v>
      </c>
      <c r="G101">
        <f t="shared" ca="1" si="8"/>
        <v>30</v>
      </c>
      <c r="H101">
        <v>0</v>
      </c>
      <c r="I101" t="str">
        <f t="shared" ca="1" si="9"/>
        <v>splňuje</v>
      </c>
      <c r="J101" t="str">
        <f t="shared" ca="1" si="10"/>
        <v>víc než 20</v>
      </c>
      <c r="K101" t="s">
        <v>390</v>
      </c>
      <c r="L101">
        <f t="shared" si="11"/>
        <v>1</v>
      </c>
      <c r="M101" t="s">
        <v>390</v>
      </c>
      <c r="N101">
        <f t="shared" si="12"/>
        <v>1</v>
      </c>
      <c r="O101" t="str">
        <f t="shared" si="13"/>
        <v>splňuje</v>
      </c>
      <c r="P101" t="s">
        <v>514</v>
      </c>
      <c r="Q101" t="s">
        <v>383</v>
      </c>
      <c r="R101" t="s">
        <v>491</v>
      </c>
      <c r="S101">
        <v>10327</v>
      </c>
    </row>
    <row r="102" spans="1:19" x14ac:dyDescent="0.3">
      <c r="A102" s="82" t="s">
        <v>562</v>
      </c>
      <c r="B102" s="82" t="s">
        <v>563</v>
      </c>
      <c r="C102" s="82" t="s">
        <v>387</v>
      </c>
      <c r="D102" s="83">
        <v>16571</v>
      </c>
      <c r="E102">
        <f t="shared" ca="1" si="7"/>
        <v>77</v>
      </c>
      <c r="F102" s="83">
        <v>35883</v>
      </c>
      <c r="G102">
        <f t="shared" ca="1" si="8"/>
        <v>24</v>
      </c>
      <c r="H102">
        <v>20</v>
      </c>
      <c r="I102" t="str">
        <f t="shared" ca="1" si="9"/>
        <v>splňuje</v>
      </c>
      <c r="J102" t="str">
        <f t="shared" ca="1" si="10"/>
        <v>víc než 20</v>
      </c>
      <c r="K102" t="s">
        <v>465</v>
      </c>
      <c r="L102">
        <f t="shared" si="11"/>
        <v>4</v>
      </c>
      <c r="M102" t="s">
        <v>465</v>
      </c>
      <c r="N102">
        <f t="shared" si="12"/>
        <v>4</v>
      </c>
      <c r="O102" t="str">
        <f t="shared" si="13"/>
        <v>splňuje</v>
      </c>
      <c r="P102" t="s">
        <v>514</v>
      </c>
      <c r="Q102" t="s">
        <v>405</v>
      </c>
      <c r="R102" t="s">
        <v>564</v>
      </c>
      <c r="S102">
        <v>12413</v>
      </c>
    </row>
    <row r="103" spans="1:19" x14ac:dyDescent="0.3">
      <c r="A103" s="82" t="s">
        <v>565</v>
      </c>
      <c r="B103" s="82" t="s">
        <v>266</v>
      </c>
      <c r="C103" s="82" t="s">
        <v>387</v>
      </c>
      <c r="D103" s="83">
        <v>16288</v>
      </c>
      <c r="E103">
        <f ca="1">INT((TODAY()-D103)/365)</f>
        <v>78</v>
      </c>
      <c r="F103" s="83">
        <v>34137</v>
      </c>
      <c r="G103">
        <f ca="1">INT((TODAY()-F103)/365)</f>
        <v>29</v>
      </c>
      <c r="H103">
        <v>5</v>
      </c>
      <c r="I103" t="str">
        <f ca="1">IF(H103&lt;=G103,"splňuje","nesplňuje")</f>
        <v>splňuje</v>
      </c>
      <c r="J103" t="str">
        <f t="shared" ca="1" si="10"/>
        <v>víc než 20</v>
      </c>
      <c r="K103" t="s">
        <v>381</v>
      </c>
      <c r="L103">
        <f>IF(K103="Z",1,IF(K103="VYUČ",2,IF(K103="SŠ",3,4)))</f>
        <v>2</v>
      </c>
      <c r="M103" t="s">
        <v>381</v>
      </c>
      <c r="N103">
        <f>IF(M103="Z",1,IF(M103="VYUČ",2,IF(M103="SŠ",3,4)))</f>
        <v>2</v>
      </c>
      <c r="O103" t="str">
        <f>IF(N103=L103,"splňuje",IF(N103&lt;L103,"nesplňuje","překračuje"))</f>
        <v>splňuje</v>
      </c>
      <c r="P103" t="s">
        <v>514</v>
      </c>
      <c r="Q103" t="s">
        <v>383</v>
      </c>
      <c r="R103" t="s">
        <v>555</v>
      </c>
      <c r="S103">
        <v>14742</v>
      </c>
    </row>
    <row r="104" spans="1:19" x14ac:dyDescent="0.3">
      <c r="A104" s="82" t="s">
        <v>566</v>
      </c>
      <c r="B104" s="82" t="s">
        <v>429</v>
      </c>
      <c r="C104" s="82" t="s">
        <v>387</v>
      </c>
      <c r="D104" s="83">
        <v>15239</v>
      </c>
      <c r="E104">
        <f ca="1">INT((TODAY()-D104)/365)</f>
        <v>81</v>
      </c>
      <c r="F104" s="83">
        <v>28232</v>
      </c>
      <c r="G104">
        <f ca="1">INT((TODAY()-F104)/365)</f>
        <v>45</v>
      </c>
      <c r="H104">
        <v>5</v>
      </c>
      <c r="I104" t="str">
        <f ca="1">IF(H104&lt;=G104,"splňuje","nesplňuje")</f>
        <v>splňuje</v>
      </c>
      <c r="J104" t="str">
        <f t="shared" ca="1" si="10"/>
        <v>víc než 20</v>
      </c>
      <c r="K104" t="s">
        <v>381</v>
      </c>
      <c r="L104">
        <f>IF(K104="Z",1,IF(K104="VYUČ",2,IF(K104="SŠ",3,4)))</f>
        <v>2</v>
      </c>
      <c r="M104" t="s">
        <v>381</v>
      </c>
      <c r="N104">
        <f>IF(M104="Z",1,IF(M104="VYUČ",2,IF(M104="SŠ",3,4)))</f>
        <v>2</v>
      </c>
      <c r="O104" t="str">
        <f>IF(N104=L104,"splňuje",IF(N104&lt;L104,"nesplňuje","překračuje"))</f>
        <v>splňuje</v>
      </c>
      <c r="P104" t="s">
        <v>514</v>
      </c>
      <c r="Q104" t="s">
        <v>383</v>
      </c>
      <c r="R104" t="s">
        <v>555</v>
      </c>
      <c r="S104">
        <v>12477</v>
      </c>
    </row>
    <row r="105" spans="1:19" x14ac:dyDescent="0.3">
      <c r="A105" s="82" t="s">
        <v>567</v>
      </c>
      <c r="B105" s="82" t="s">
        <v>568</v>
      </c>
      <c r="C105" s="82" t="s">
        <v>387</v>
      </c>
      <c r="D105" s="83">
        <v>15027</v>
      </c>
      <c r="E105">
        <f ca="1">INT((TODAY()-D105)/365)</f>
        <v>82</v>
      </c>
      <c r="F105" s="83">
        <v>30955</v>
      </c>
      <c r="G105">
        <f ca="1">INT((TODAY()-F105)/365)</f>
        <v>38</v>
      </c>
      <c r="H105">
        <v>0</v>
      </c>
      <c r="I105" t="str">
        <f ca="1">IF(H105&lt;=G105,"splňuje","nesplňuje")</f>
        <v>splňuje</v>
      </c>
      <c r="J105" t="str">
        <f t="shared" ca="1" si="10"/>
        <v>víc než 20</v>
      </c>
      <c r="K105" t="s">
        <v>381</v>
      </c>
      <c r="L105">
        <f>IF(K105="Z",1,IF(K105="VYUČ",2,IF(K105="SŠ",3,4)))</f>
        <v>2</v>
      </c>
      <c r="M105" t="s">
        <v>390</v>
      </c>
      <c r="N105">
        <f>IF(M105="Z",1,IF(M105="VYUČ",2,IF(M105="SŠ",3,4)))</f>
        <v>1</v>
      </c>
      <c r="O105" t="str">
        <f>IF(N105=L105,"splňuje",IF(N105&lt;L105,"nesplňuje","překračuje"))</f>
        <v>nesplňuje</v>
      </c>
      <c r="P105" t="s">
        <v>514</v>
      </c>
      <c r="Q105" t="s">
        <v>383</v>
      </c>
      <c r="R105" t="s">
        <v>528</v>
      </c>
      <c r="S105">
        <v>11040</v>
      </c>
    </row>
    <row r="109" spans="1:19" x14ac:dyDescent="0.3">
      <c r="L109" s="182" t="s">
        <v>1148</v>
      </c>
    </row>
  </sheetData>
  <hyperlinks>
    <hyperlink ref="L109" location="Obsah!A1" display="Obsah"/>
    <hyperlink ref="I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rgb="FFFFFF00"/>
  </sheetPr>
  <dimension ref="E2:L4"/>
  <sheetViews>
    <sheetView tabSelected="1" workbookViewId="0">
      <selection activeCell="L2" sqref="L2"/>
    </sheetView>
  </sheetViews>
  <sheetFormatPr defaultRowHeight="14.4" x14ac:dyDescent="0.3"/>
  <sheetData>
    <row r="2" spans="5:12" x14ac:dyDescent="0.3">
      <c r="L2" s="182" t="s">
        <v>1148</v>
      </c>
    </row>
    <row r="4" spans="5:12" x14ac:dyDescent="0.3">
      <c r="E4" s="179"/>
    </row>
  </sheetData>
  <hyperlinks>
    <hyperlink ref="L2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rgb="FFFFFF00"/>
  </sheetPr>
  <dimension ref="A1:S106"/>
  <sheetViews>
    <sheetView topLeftCell="A87" workbookViewId="0">
      <selection activeCell="A8" sqref="A8:B106"/>
    </sheetView>
  </sheetViews>
  <sheetFormatPr defaultRowHeight="14.4" x14ac:dyDescent="0.3"/>
  <cols>
    <col min="4" max="4" width="15.109375" customWidth="1"/>
    <col min="6" max="6" width="15.6640625" customWidth="1"/>
  </cols>
  <sheetData>
    <row r="1" spans="1:19" x14ac:dyDescent="0.3">
      <c r="A1" s="178" t="s">
        <v>569</v>
      </c>
      <c r="D1" s="34" t="s">
        <v>572</v>
      </c>
      <c r="M1" s="182" t="s">
        <v>1148</v>
      </c>
    </row>
    <row r="2" spans="1:19" x14ac:dyDescent="0.3">
      <c r="A2" t="s">
        <v>570</v>
      </c>
      <c r="D2" t="s">
        <v>573</v>
      </c>
    </row>
    <row r="3" spans="1:19" x14ac:dyDescent="0.3">
      <c r="D3" t="s">
        <v>574</v>
      </c>
    </row>
    <row r="4" spans="1:19" x14ac:dyDescent="0.3">
      <c r="D4" t="s">
        <v>575</v>
      </c>
    </row>
    <row r="5" spans="1:19" x14ac:dyDescent="0.3">
      <c r="D5" t="s">
        <v>576</v>
      </c>
    </row>
    <row r="7" spans="1:19" x14ac:dyDescent="0.3">
      <c r="A7" s="80" t="s">
        <v>178</v>
      </c>
      <c r="B7" s="80" t="s">
        <v>244</v>
      </c>
      <c r="C7" s="80" t="s">
        <v>363</v>
      </c>
      <c r="D7" s="80" t="s">
        <v>364</v>
      </c>
      <c r="E7" s="81" t="s">
        <v>180</v>
      </c>
      <c r="F7" s="80" t="s">
        <v>365</v>
      </c>
      <c r="G7" s="81" t="s">
        <v>366</v>
      </c>
      <c r="H7" s="81" t="s">
        <v>367</v>
      </c>
      <c r="I7" s="81" t="s">
        <v>368</v>
      </c>
      <c r="J7" s="81" t="s">
        <v>369</v>
      </c>
      <c r="K7" s="81" t="s">
        <v>370</v>
      </c>
      <c r="L7" s="81" t="s">
        <v>371</v>
      </c>
      <c r="M7" s="81" t="s">
        <v>372</v>
      </c>
      <c r="N7" s="81" t="s">
        <v>373</v>
      </c>
      <c r="O7" s="81" t="s">
        <v>374</v>
      </c>
      <c r="P7" s="81" t="s">
        <v>375</v>
      </c>
      <c r="Q7" s="81" t="s">
        <v>376</v>
      </c>
      <c r="R7" s="81" t="s">
        <v>377</v>
      </c>
      <c r="S7" s="81" t="s">
        <v>378</v>
      </c>
    </row>
    <row r="8" spans="1:19" x14ac:dyDescent="0.3">
      <c r="A8" s="82" t="s">
        <v>379</v>
      </c>
      <c r="B8" s="82" t="s">
        <v>273</v>
      </c>
      <c r="C8" s="82" t="s">
        <v>380</v>
      </c>
      <c r="D8" s="83">
        <v>28501</v>
      </c>
      <c r="E8">
        <f t="shared" ref="E8:E71" ca="1" si="0">INT((TODAY()-D8)/365)</f>
        <v>45</v>
      </c>
      <c r="F8" s="83">
        <v>35946</v>
      </c>
      <c r="G8">
        <f t="shared" ref="G8:G71" ca="1" si="1">INT((TODAY()-F8)/365)</f>
        <v>24</v>
      </c>
      <c r="H8">
        <v>4</v>
      </c>
      <c r="I8" t="str">
        <f t="shared" ref="I8:I71" ca="1" si="2">IF(H8&lt;=G8,"splňuje","nesplňuje")</f>
        <v>splňuje</v>
      </c>
      <c r="J8" t="str">
        <f t="shared" ref="J8:J71" ca="1" si="3">IF(G8&lt;=5,"méně než 5",IF(G8&lt;=10,"5-10",IF(G8&lt;=20,"10-20","víc než 20")))</f>
        <v>víc než 20</v>
      </c>
      <c r="K8" t="s">
        <v>381</v>
      </c>
      <c r="L8">
        <f t="shared" ref="L8:L71" si="4">IF(K8="Z",1,IF(K8="VYUČ",2,IF(K8="SŠ",3,4)))</f>
        <v>2</v>
      </c>
      <c r="M8" t="s">
        <v>381</v>
      </c>
      <c r="N8">
        <f t="shared" ref="N8:N71" si="5">IF(M8="Z",1,IF(M8="VYUČ",2,IF(M8="SŠ",3,4)))</f>
        <v>2</v>
      </c>
      <c r="O8" t="str">
        <f t="shared" ref="O8:O71" si="6">IF(N8=L8,"splňuje",IF(N8&lt;L8,"nesplňuje","překračuje"))</f>
        <v>splňuje</v>
      </c>
      <c r="P8" t="s">
        <v>382</v>
      </c>
      <c r="Q8" t="s">
        <v>383</v>
      </c>
      <c r="R8" t="s">
        <v>384</v>
      </c>
      <c r="S8">
        <v>12873</v>
      </c>
    </row>
    <row r="9" spans="1:19" x14ac:dyDescent="0.3">
      <c r="A9" s="82" t="s">
        <v>385</v>
      </c>
      <c r="B9" s="82" t="s">
        <v>386</v>
      </c>
      <c r="C9" s="82" t="s">
        <v>387</v>
      </c>
      <c r="D9" s="83">
        <v>27167</v>
      </c>
      <c r="E9">
        <f t="shared" ca="1" si="0"/>
        <v>48</v>
      </c>
      <c r="F9" s="83">
        <v>35284</v>
      </c>
      <c r="G9">
        <f t="shared" ca="1" si="1"/>
        <v>26</v>
      </c>
      <c r="H9">
        <v>8</v>
      </c>
      <c r="I9" t="str">
        <f t="shared" ca="1" si="2"/>
        <v>splňuje</v>
      </c>
      <c r="J9" t="str">
        <f t="shared" ca="1" si="3"/>
        <v>víc než 20</v>
      </c>
      <c r="K9" t="s">
        <v>381</v>
      </c>
      <c r="L9">
        <f t="shared" si="4"/>
        <v>2</v>
      </c>
      <c r="M9" t="s">
        <v>381</v>
      </c>
      <c r="N9">
        <f t="shared" si="5"/>
        <v>2</v>
      </c>
      <c r="O9" t="str">
        <f t="shared" si="6"/>
        <v>splňuje</v>
      </c>
      <c r="P9" t="s">
        <v>382</v>
      </c>
      <c r="Q9" t="s">
        <v>383</v>
      </c>
      <c r="R9" t="s">
        <v>388</v>
      </c>
      <c r="S9">
        <v>11274</v>
      </c>
    </row>
    <row r="10" spans="1:19" x14ac:dyDescent="0.3">
      <c r="A10" s="82" t="s">
        <v>389</v>
      </c>
      <c r="B10" s="82" t="s">
        <v>195</v>
      </c>
      <c r="C10" s="82" t="s">
        <v>387</v>
      </c>
      <c r="D10" s="83">
        <v>26314</v>
      </c>
      <c r="E10">
        <f t="shared" ca="1" si="0"/>
        <v>51</v>
      </c>
      <c r="F10" s="83">
        <v>35442</v>
      </c>
      <c r="G10">
        <f t="shared" ca="1" si="1"/>
        <v>26</v>
      </c>
      <c r="H10">
        <v>0</v>
      </c>
      <c r="I10" t="str">
        <f t="shared" ca="1" si="2"/>
        <v>splňuje</v>
      </c>
      <c r="J10" t="str">
        <f t="shared" ca="1" si="3"/>
        <v>víc než 20</v>
      </c>
      <c r="K10" t="s">
        <v>390</v>
      </c>
      <c r="L10">
        <f t="shared" si="4"/>
        <v>1</v>
      </c>
      <c r="M10" t="s">
        <v>390</v>
      </c>
      <c r="N10">
        <f t="shared" si="5"/>
        <v>1</v>
      </c>
      <c r="O10" t="str">
        <f t="shared" si="6"/>
        <v>splňuje</v>
      </c>
      <c r="P10" t="s">
        <v>382</v>
      </c>
      <c r="Q10" t="s">
        <v>383</v>
      </c>
      <c r="R10" t="s">
        <v>391</v>
      </c>
      <c r="S10">
        <v>9165</v>
      </c>
    </row>
    <row r="11" spans="1:19" x14ac:dyDescent="0.3">
      <c r="A11" s="82" t="s">
        <v>392</v>
      </c>
      <c r="B11" s="82" t="s">
        <v>393</v>
      </c>
      <c r="C11" s="82" t="s">
        <v>387</v>
      </c>
      <c r="D11" s="83">
        <v>25892</v>
      </c>
      <c r="E11">
        <f t="shared" ca="1" si="0"/>
        <v>52</v>
      </c>
      <c r="F11" s="83">
        <v>35051</v>
      </c>
      <c r="G11">
        <f t="shared" ca="1" si="1"/>
        <v>27</v>
      </c>
      <c r="H11">
        <v>0</v>
      </c>
      <c r="I11" t="str">
        <f t="shared" ca="1" si="2"/>
        <v>splňuje</v>
      </c>
      <c r="J11" t="str">
        <f t="shared" ca="1" si="3"/>
        <v>víc než 20</v>
      </c>
      <c r="K11" t="s">
        <v>381</v>
      </c>
      <c r="L11">
        <f t="shared" si="4"/>
        <v>2</v>
      </c>
      <c r="M11" t="s">
        <v>390</v>
      </c>
      <c r="N11">
        <f t="shared" si="5"/>
        <v>1</v>
      </c>
      <c r="O11" t="str">
        <f t="shared" si="6"/>
        <v>nesplňuje</v>
      </c>
      <c r="P11" t="s">
        <v>382</v>
      </c>
      <c r="Q11" t="s">
        <v>383</v>
      </c>
      <c r="R11" t="s">
        <v>394</v>
      </c>
      <c r="S11">
        <v>13166</v>
      </c>
    </row>
    <row r="12" spans="1:19" x14ac:dyDescent="0.3">
      <c r="A12" s="82" t="s">
        <v>395</v>
      </c>
      <c r="B12" s="82" t="s">
        <v>266</v>
      </c>
      <c r="C12" s="82" t="s">
        <v>387</v>
      </c>
      <c r="D12" s="83">
        <v>22951</v>
      </c>
      <c r="E12">
        <f t="shared" ca="1" si="0"/>
        <v>60</v>
      </c>
      <c r="F12" s="83">
        <v>33301</v>
      </c>
      <c r="G12">
        <f t="shared" ca="1" si="1"/>
        <v>31</v>
      </c>
      <c r="H12">
        <v>10</v>
      </c>
      <c r="I12" t="str">
        <f t="shared" ca="1" si="2"/>
        <v>splňuje</v>
      </c>
      <c r="J12" t="str">
        <f t="shared" ca="1" si="3"/>
        <v>víc než 20</v>
      </c>
      <c r="K12" t="s">
        <v>381</v>
      </c>
      <c r="L12">
        <f t="shared" si="4"/>
        <v>2</v>
      </c>
      <c r="M12" t="s">
        <v>381</v>
      </c>
      <c r="N12">
        <f t="shared" si="5"/>
        <v>2</v>
      </c>
      <c r="O12" t="str">
        <f t="shared" si="6"/>
        <v>splňuje</v>
      </c>
      <c r="P12" t="s">
        <v>382</v>
      </c>
      <c r="Q12" t="s">
        <v>383</v>
      </c>
      <c r="R12" t="s">
        <v>396</v>
      </c>
      <c r="S12">
        <v>14363</v>
      </c>
    </row>
    <row r="13" spans="1:19" x14ac:dyDescent="0.3">
      <c r="A13" s="82" t="s">
        <v>397</v>
      </c>
      <c r="B13" s="82" t="s">
        <v>398</v>
      </c>
      <c r="C13" s="82" t="s">
        <v>380</v>
      </c>
      <c r="D13" s="83">
        <v>21102</v>
      </c>
      <c r="E13">
        <f t="shared" ca="1" si="0"/>
        <v>65</v>
      </c>
      <c r="F13" s="83">
        <v>32494</v>
      </c>
      <c r="G13">
        <f t="shared" ca="1" si="1"/>
        <v>34</v>
      </c>
      <c r="H13">
        <v>2</v>
      </c>
      <c r="I13" t="str">
        <f t="shared" ca="1" si="2"/>
        <v>splňuje</v>
      </c>
      <c r="J13" t="str">
        <f t="shared" ca="1" si="3"/>
        <v>víc než 20</v>
      </c>
      <c r="K13" t="s">
        <v>399</v>
      </c>
      <c r="L13">
        <f t="shared" si="4"/>
        <v>3</v>
      </c>
      <c r="M13" t="s">
        <v>381</v>
      </c>
      <c r="N13">
        <f t="shared" si="5"/>
        <v>2</v>
      </c>
      <c r="O13" t="str">
        <f t="shared" si="6"/>
        <v>nesplňuje</v>
      </c>
      <c r="P13" t="s">
        <v>382</v>
      </c>
      <c r="Q13" t="s">
        <v>383</v>
      </c>
      <c r="R13" t="s">
        <v>400</v>
      </c>
      <c r="S13">
        <v>11549</v>
      </c>
    </row>
    <row r="14" spans="1:19" x14ac:dyDescent="0.3">
      <c r="A14" s="82" t="s">
        <v>401</v>
      </c>
      <c r="B14" s="82" t="s">
        <v>195</v>
      </c>
      <c r="C14" s="82" t="s">
        <v>387</v>
      </c>
      <c r="D14" s="83">
        <v>20353</v>
      </c>
      <c r="E14">
        <f t="shared" ca="1" si="0"/>
        <v>67</v>
      </c>
      <c r="F14" s="83">
        <v>32130</v>
      </c>
      <c r="G14">
        <f t="shared" ca="1" si="1"/>
        <v>35</v>
      </c>
      <c r="H14">
        <v>0</v>
      </c>
      <c r="I14" t="str">
        <f t="shared" ca="1" si="2"/>
        <v>splňuje</v>
      </c>
      <c r="J14" t="str">
        <f t="shared" ca="1" si="3"/>
        <v>víc než 20</v>
      </c>
      <c r="K14" t="s">
        <v>381</v>
      </c>
      <c r="L14">
        <f t="shared" si="4"/>
        <v>2</v>
      </c>
      <c r="M14" t="s">
        <v>381</v>
      </c>
      <c r="N14">
        <f t="shared" si="5"/>
        <v>2</v>
      </c>
      <c r="O14" t="str">
        <f t="shared" si="6"/>
        <v>splňuje</v>
      </c>
      <c r="P14" t="s">
        <v>382</v>
      </c>
      <c r="Q14" t="s">
        <v>383</v>
      </c>
      <c r="R14" t="s">
        <v>402</v>
      </c>
      <c r="S14">
        <v>12277</v>
      </c>
    </row>
    <row r="15" spans="1:19" x14ac:dyDescent="0.3">
      <c r="A15" s="82" t="s">
        <v>403</v>
      </c>
      <c r="B15" s="82" t="s">
        <v>404</v>
      </c>
      <c r="C15" s="82" t="s">
        <v>387</v>
      </c>
      <c r="D15" s="83">
        <v>19633</v>
      </c>
      <c r="E15">
        <f t="shared" ca="1" si="0"/>
        <v>69</v>
      </c>
      <c r="F15" s="83">
        <v>27062</v>
      </c>
      <c r="G15">
        <f t="shared" ca="1" si="1"/>
        <v>49</v>
      </c>
      <c r="H15">
        <v>10</v>
      </c>
      <c r="I15" t="str">
        <f t="shared" ca="1" si="2"/>
        <v>splňuje</v>
      </c>
      <c r="J15" t="str">
        <f t="shared" ca="1" si="3"/>
        <v>víc než 20</v>
      </c>
      <c r="K15" t="s">
        <v>399</v>
      </c>
      <c r="L15">
        <f t="shared" si="4"/>
        <v>3</v>
      </c>
      <c r="M15" t="s">
        <v>399</v>
      </c>
      <c r="N15">
        <f t="shared" si="5"/>
        <v>3</v>
      </c>
      <c r="O15" t="str">
        <f t="shared" si="6"/>
        <v>splňuje</v>
      </c>
      <c r="P15" t="s">
        <v>382</v>
      </c>
      <c r="Q15" t="s">
        <v>405</v>
      </c>
      <c r="R15" t="s">
        <v>406</v>
      </c>
      <c r="S15">
        <v>11305</v>
      </c>
    </row>
    <row r="16" spans="1:19" x14ac:dyDescent="0.3">
      <c r="A16" s="82" t="s">
        <v>407</v>
      </c>
      <c r="B16" s="82" t="s">
        <v>408</v>
      </c>
      <c r="C16" s="82" t="s">
        <v>387</v>
      </c>
      <c r="D16" s="83">
        <v>16443</v>
      </c>
      <c r="E16">
        <f t="shared" ca="1" si="0"/>
        <v>78</v>
      </c>
      <c r="F16" s="83">
        <v>28660</v>
      </c>
      <c r="G16">
        <f t="shared" ca="1" si="1"/>
        <v>44</v>
      </c>
      <c r="H16">
        <v>8</v>
      </c>
      <c r="I16" t="str">
        <f t="shared" ca="1" si="2"/>
        <v>splňuje</v>
      </c>
      <c r="J16" t="str">
        <f t="shared" ca="1" si="3"/>
        <v>víc než 20</v>
      </c>
      <c r="K16" t="s">
        <v>381</v>
      </c>
      <c r="L16">
        <f t="shared" si="4"/>
        <v>2</v>
      </c>
      <c r="M16" t="s">
        <v>381</v>
      </c>
      <c r="N16">
        <f t="shared" si="5"/>
        <v>2</v>
      </c>
      <c r="O16" t="str">
        <f t="shared" si="6"/>
        <v>splňuje</v>
      </c>
      <c r="P16" t="s">
        <v>382</v>
      </c>
      <c r="Q16" t="s">
        <v>383</v>
      </c>
      <c r="R16" t="s">
        <v>409</v>
      </c>
      <c r="S16">
        <v>11921</v>
      </c>
    </row>
    <row r="17" spans="1:19" x14ac:dyDescent="0.3">
      <c r="A17" s="82" t="s">
        <v>410</v>
      </c>
      <c r="B17" s="82" t="s">
        <v>195</v>
      </c>
      <c r="C17" s="82" t="s">
        <v>387</v>
      </c>
      <c r="D17" s="83">
        <v>15681</v>
      </c>
      <c r="E17">
        <f t="shared" ca="1" si="0"/>
        <v>80</v>
      </c>
      <c r="F17" s="83">
        <v>35911</v>
      </c>
      <c r="G17">
        <f t="shared" ca="1" si="1"/>
        <v>24</v>
      </c>
      <c r="H17">
        <v>8</v>
      </c>
      <c r="I17" t="str">
        <f t="shared" ca="1" si="2"/>
        <v>splňuje</v>
      </c>
      <c r="J17" t="str">
        <f t="shared" ca="1" si="3"/>
        <v>víc než 20</v>
      </c>
      <c r="K17" t="s">
        <v>381</v>
      </c>
      <c r="L17">
        <f t="shared" si="4"/>
        <v>2</v>
      </c>
      <c r="M17" t="s">
        <v>381</v>
      </c>
      <c r="N17">
        <f t="shared" si="5"/>
        <v>2</v>
      </c>
      <c r="O17" t="str">
        <f t="shared" si="6"/>
        <v>splňuje</v>
      </c>
      <c r="P17" t="s">
        <v>382</v>
      </c>
      <c r="Q17" t="s">
        <v>383</v>
      </c>
      <c r="R17" t="s">
        <v>411</v>
      </c>
      <c r="S17">
        <v>12284</v>
      </c>
    </row>
    <row r="18" spans="1:19" x14ac:dyDescent="0.3">
      <c r="A18" s="82" t="s">
        <v>412</v>
      </c>
      <c r="B18" s="82" t="s">
        <v>413</v>
      </c>
      <c r="C18" s="82" t="s">
        <v>387</v>
      </c>
      <c r="D18" s="83">
        <v>26239</v>
      </c>
      <c r="E18">
        <f t="shared" ca="1" si="0"/>
        <v>51</v>
      </c>
      <c r="F18" s="83">
        <v>35241</v>
      </c>
      <c r="G18">
        <f t="shared" ca="1" si="1"/>
        <v>26</v>
      </c>
      <c r="H18">
        <v>10</v>
      </c>
      <c r="I18" t="str">
        <f t="shared" ca="1" si="2"/>
        <v>splňuje</v>
      </c>
      <c r="J18" t="str">
        <f t="shared" ca="1" si="3"/>
        <v>víc než 20</v>
      </c>
      <c r="K18" t="s">
        <v>381</v>
      </c>
      <c r="L18">
        <f t="shared" si="4"/>
        <v>2</v>
      </c>
      <c r="M18" t="s">
        <v>381</v>
      </c>
      <c r="N18">
        <f t="shared" si="5"/>
        <v>2</v>
      </c>
      <c r="O18" t="str">
        <f t="shared" si="6"/>
        <v>splňuje</v>
      </c>
      <c r="P18" t="s">
        <v>414</v>
      </c>
      <c r="Q18" t="s">
        <v>383</v>
      </c>
      <c r="R18" t="s">
        <v>396</v>
      </c>
      <c r="S18">
        <v>9437</v>
      </c>
    </row>
    <row r="19" spans="1:19" x14ac:dyDescent="0.3">
      <c r="A19" s="82" t="s">
        <v>415</v>
      </c>
      <c r="B19" s="82" t="s">
        <v>416</v>
      </c>
      <c r="C19" s="82" t="s">
        <v>380</v>
      </c>
      <c r="D19" s="83">
        <v>26439</v>
      </c>
      <c r="E19">
        <f t="shared" ca="1" si="0"/>
        <v>50</v>
      </c>
      <c r="F19" s="83">
        <v>33790</v>
      </c>
      <c r="G19">
        <f t="shared" ca="1" si="1"/>
        <v>30</v>
      </c>
      <c r="H19">
        <v>0</v>
      </c>
      <c r="I19" t="str">
        <f t="shared" ca="1" si="2"/>
        <v>splňuje</v>
      </c>
      <c r="J19" t="str">
        <f t="shared" ca="1" si="3"/>
        <v>víc než 20</v>
      </c>
      <c r="K19" t="s">
        <v>390</v>
      </c>
      <c r="L19">
        <f t="shared" si="4"/>
        <v>1</v>
      </c>
      <c r="M19" t="s">
        <v>390</v>
      </c>
      <c r="N19">
        <f t="shared" si="5"/>
        <v>1</v>
      </c>
      <c r="O19" t="str">
        <f t="shared" si="6"/>
        <v>splňuje</v>
      </c>
      <c r="P19" t="s">
        <v>414</v>
      </c>
      <c r="Q19" t="s">
        <v>383</v>
      </c>
      <c r="R19" t="s">
        <v>391</v>
      </c>
      <c r="S19">
        <v>10434</v>
      </c>
    </row>
    <row r="20" spans="1:19" x14ac:dyDescent="0.3">
      <c r="A20" s="82" t="s">
        <v>417</v>
      </c>
      <c r="B20" s="82" t="s">
        <v>418</v>
      </c>
      <c r="C20" s="82" t="s">
        <v>387</v>
      </c>
      <c r="D20" s="83">
        <v>24780</v>
      </c>
      <c r="E20">
        <f t="shared" ca="1" si="0"/>
        <v>55</v>
      </c>
      <c r="F20" s="83">
        <v>35867</v>
      </c>
      <c r="G20">
        <f t="shared" ca="1" si="1"/>
        <v>24</v>
      </c>
      <c r="H20">
        <v>0</v>
      </c>
      <c r="I20" t="str">
        <f t="shared" ca="1" si="2"/>
        <v>splňuje</v>
      </c>
      <c r="J20" t="str">
        <f t="shared" ca="1" si="3"/>
        <v>víc než 20</v>
      </c>
      <c r="K20" t="s">
        <v>381</v>
      </c>
      <c r="L20">
        <f t="shared" si="4"/>
        <v>2</v>
      </c>
      <c r="M20" t="s">
        <v>381</v>
      </c>
      <c r="N20">
        <f t="shared" si="5"/>
        <v>2</v>
      </c>
      <c r="O20" t="str">
        <f t="shared" si="6"/>
        <v>splňuje</v>
      </c>
      <c r="P20" t="s">
        <v>414</v>
      </c>
      <c r="Q20" t="s">
        <v>383</v>
      </c>
      <c r="R20" t="s">
        <v>402</v>
      </c>
      <c r="S20">
        <v>8032</v>
      </c>
    </row>
    <row r="21" spans="1:19" x14ac:dyDescent="0.3">
      <c r="A21" s="82" t="s">
        <v>419</v>
      </c>
      <c r="B21" s="82" t="s">
        <v>386</v>
      </c>
      <c r="C21" s="82" t="s">
        <v>387</v>
      </c>
      <c r="D21" s="83">
        <v>24510</v>
      </c>
      <c r="E21">
        <f t="shared" ca="1" si="0"/>
        <v>56</v>
      </c>
      <c r="F21" s="83">
        <v>34633</v>
      </c>
      <c r="G21">
        <f t="shared" ca="1" si="1"/>
        <v>28</v>
      </c>
      <c r="H21">
        <v>4</v>
      </c>
      <c r="I21" t="str">
        <f t="shared" ca="1" si="2"/>
        <v>splňuje</v>
      </c>
      <c r="J21" t="str">
        <f t="shared" ca="1" si="3"/>
        <v>víc než 20</v>
      </c>
      <c r="K21" t="s">
        <v>381</v>
      </c>
      <c r="L21">
        <f t="shared" si="4"/>
        <v>2</v>
      </c>
      <c r="M21" t="s">
        <v>381</v>
      </c>
      <c r="N21">
        <f t="shared" si="5"/>
        <v>2</v>
      </c>
      <c r="O21" t="str">
        <f t="shared" si="6"/>
        <v>splňuje</v>
      </c>
      <c r="P21" t="s">
        <v>414</v>
      </c>
      <c r="Q21" t="s">
        <v>383</v>
      </c>
      <c r="R21" t="s">
        <v>384</v>
      </c>
      <c r="S21">
        <v>9450</v>
      </c>
    </row>
    <row r="22" spans="1:19" x14ac:dyDescent="0.3">
      <c r="A22" s="82" t="s">
        <v>420</v>
      </c>
      <c r="B22" s="82" t="s">
        <v>421</v>
      </c>
      <c r="C22" s="82" t="s">
        <v>380</v>
      </c>
      <c r="D22" s="83">
        <v>23611</v>
      </c>
      <c r="E22">
        <f t="shared" ca="1" si="0"/>
        <v>58</v>
      </c>
      <c r="F22" s="83">
        <v>33592</v>
      </c>
      <c r="G22">
        <f t="shared" ca="1" si="1"/>
        <v>31</v>
      </c>
      <c r="H22">
        <v>2</v>
      </c>
      <c r="I22" t="str">
        <f t="shared" ca="1" si="2"/>
        <v>splňuje</v>
      </c>
      <c r="J22" t="str">
        <f t="shared" ca="1" si="3"/>
        <v>víc než 20</v>
      </c>
      <c r="K22" t="s">
        <v>381</v>
      </c>
      <c r="L22">
        <f t="shared" si="4"/>
        <v>2</v>
      </c>
      <c r="M22" t="s">
        <v>381</v>
      </c>
      <c r="N22">
        <f t="shared" si="5"/>
        <v>2</v>
      </c>
      <c r="O22" t="str">
        <f t="shared" si="6"/>
        <v>splňuje</v>
      </c>
      <c r="P22" t="s">
        <v>414</v>
      </c>
      <c r="Q22" t="s">
        <v>383</v>
      </c>
      <c r="R22" t="s">
        <v>400</v>
      </c>
      <c r="S22">
        <v>9335</v>
      </c>
    </row>
    <row r="23" spans="1:19" x14ac:dyDescent="0.3">
      <c r="A23" s="82" t="s">
        <v>422</v>
      </c>
      <c r="B23" s="82" t="s">
        <v>423</v>
      </c>
      <c r="C23" s="82" t="s">
        <v>387</v>
      </c>
      <c r="D23" s="83">
        <v>23020</v>
      </c>
      <c r="E23">
        <f t="shared" ca="1" si="0"/>
        <v>60</v>
      </c>
      <c r="F23" s="83">
        <v>34764</v>
      </c>
      <c r="G23">
        <f t="shared" ca="1" si="1"/>
        <v>27</v>
      </c>
      <c r="H23">
        <v>8</v>
      </c>
      <c r="I23" t="str">
        <f t="shared" ca="1" si="2"/>
        <v>splňuje</v>
      </c>
      <c r="J23" t="str">
        <f t="shared" ca="1" si="3"/>
        <v>víc než 20</v>
      </c>
      <c r="K23" t="s">
        <v>381</v>
      </c>
      <c r="L23">
        <f t="shared" si="4"/>
        <v>2</v>
      </c>
      <c r="M23" t="s">
        <v>381</v>
      </c>
      <c r="N23">
        <f t="shared" si="5"/>
        <v>2</v>
      </c>
      <c r="O23" t="str">
        <f t="shared" si="6"/>
        <v>splňuje</v>
      </c>
      <c r="P23" t="s">
        <v>414</v>
      </c>
      <c r="Q23" t="s">
        <v>383</v>
      </c>
      <c r="R23" t="s">
        <v>411</v>
      </c>
      <c r="S23">
        <v>10432</v>
      </c>
    </row>
    <row r="24" spans="1:19" x14ac:dyDescent="0.3">
      <c r="A24" s="82" t="s">
        <v>424</v>
      </c>
      <c r="B24" s="82" t="s">
        <v>425</v>
      </c>
      <c r="C24" s="82" t="s">
        <v>387</v>
      </c>
      <c r="D24" s="83">
        <v>21801</v>
      </c>
      <c r="E24">
        <f t="shared" ca="1" si="0"/>
        <v>63</v>
      </c>
      <c r="F24" s="83">
        <v>34592</v>
      </c>
      <c r="G24">
        <f t="shared" ca="1" si="1"/>
        <v>28</v>
      </c>
      <c r="H24">
        <v>10</v>
      </c>
      <c r="I24" t="str">
        <f t="shared" ca="1" si="2"/>
        <v>splňuje</v>
      </c>
      <c r="J24" t="str">
        <f t="shared" ca="1" si="3"/>
        <v>víc než 20</v>
      </c>
      <c r="K24" t="s">
        <v>399</v>
      </c>
      <c r="L24">
        <f t="shared" si="4"/>
        <v>3</v>
      </c>
      <c r="M24" t="s">
        <v>399</v>
      </c>
      <c r="N24">
        <f t="shared" si="5"/>
        <v>3</v>
      </c>
      <c r="O24" t="str">
        <f t="shared" si="6"/>
        <v>splňuje</v>
      </c>
      <c r="P24" t="s">
        <v>414</v>
      </c>
      <c r="Q24" t="s">
        <v>405</v>
      </c>
      <c r="R24" t="s">
        <v>406</v>
      </c>
      <c r="S24">
        <v>9157</v>
      </c>
    </row>
    <row r="25" spans="1:19" x14ac:dyDescent="0.3">
      <c r="A25" s="82" t="s">
        <v>426</v>
      </c>
      <c r="B25" s="82" t="s">
        <v>268</v>
      </c>
      <c r="C25" s="82" t="s">
        <v>380</v>
      </c>
      <c r="D25" s="83">
        <v>20447</v>
      </c>
      <c r="E25">
        <f t="shared" ca="1" si="0"/>
        <v>67</v>
      </c>
      <c r="F25" s="83">
        <v>32779</v>
      </c>
      <c r="G25">
        <f t="shared" ca="1" si="1"/>
        <v>33</v>
      </c>
      <c r="H25">
        <v>0</v>
      </c>
      <c r="I25" t="str">
        <f t="shared" ca="1" si="2"/>
        <v>splňuje</v>
      </c>
      <c r="J25" t="str">
        <f t="shared" ca="1" si="3"/>
        <v>víc než 20</v>
      </c>
      <c r="K25" t="s">
        <v>381</v>
      </c>
      <c r="L25">
        <f t="shared" si="4"/>
        <v>2</v>
      </c>
      <c r="M25" t="s">
        <v>390</v>
      </c>
      <c r="N25">
        <f t="shared" si="5"/>
        <v>1</v>
      </c>
      <c r="O25" t="str">
        <f t="shared" si="6"/>
        <v>nesplňuje</v>
      </c>
      <c r="P25" t="s">
        <v>414</v>
      </c>
      <c r="Q25" t="s">
        <v>383</v>
      </c>
      <c r="R25" t="s">
        <v>394</v>
      </c>
      <c r="S25">
        <v>13991</v>
      </c>
    </row>
    <row r="26" spans="1:19" x14ac:dyDescent="0.3">
      <c r="A26" s="82" t="s">
        <v>427</v>
      </c>
      <c r="B26" s="82" t="s">
        <v>266</v>
      </c>
      <c r="C26" s="82" t="s">
        <v>387</v>
      </c>
      <c r="D26" s="83">
        <v>20558</v>
      </c>
      <c r="E26">
        <f t="shared" ca="1" si="0"/>
        <v>66</v>
      </c>
      <c r="F26" s="83">
        <v>34556</v>
      </c>
      <c r="G26">
        <f t="shared" ca="1" si="1"/>
        <v>28</v>
      </c>
      <c r="H26">
        <v>8</v>
      </c>
      <c r="I26" t="str">
        <f t="shared" ca="1" si="2"/>
        <v>splňuje</v>
      </c>
      <c r="J26" t="str">
        <f t="shared" ca="1" si="3"/>
        <v>víc než 20</v>
      </c>
      <c r="K26" t="s">
        <v>381</v>
      </c>
      <c r="L26">
        <f t="shared" si="4"/>
        <v>2</v>
      </c>
      <c r="M26" t="s">
        <v>381</v>
      </c>
      <c r="N26">
        <f t="shared" si="5"/>
        <v>2</v>
      </c>
      <c r="O26" t="str">
        <f t="shared" si="6"/>
        <v>splňuje</v>
      </c>
      <c r="P26" t="s">
        <v>414</v>
      </c>
      <c r="Q26" t="s">
        <v>383</v>
      </c>
      <c r="R26" t="s">
        <v>409</v>
      </c>
      <c r="S26">
        <v>12987</v>
      </c>
    </row>
    <row r="27" spans="1:19" x14ac:dyDescent="0.3">
      <c r="A27" s="82" t="s">
        <v>428</v>
      </c>
      <c r="B27" s="82" t="s">
        <v>429</v>
      </c>
      <c r="C27" s="82" t="s">
        <v>387</v>
      </c>
      <c r="D27" s="83">
        <v>14759</v>
      </c>
      <c r="E27">
        <f t="shared" ca="1" si="0"/>
        <v>82</v>
      </c>
      <c r="F27" s="83">
        <v>26918</v>
      </c>
      <c r="G27">
        <f t="shared" ca="1" si="1"/>
        <v>49</v>
      </c>
      <c r="H27">
        <v>8</v>
      </c>
      <c r="I27" t="str">
        <f t="shared" ca="1" si="2"/>
        <v>splňuje</v>
      </c>
      <c r="J27" t="str">
        <f t="shared" ca="1" si="3"/>
        <v>víc než 20</v>
      </c>
      <c r="K27" t="s">
        <v>381</v>
      </c>
      <c r="L27">
        <f t="shared" si="4"/>
        <v>2</v>
      </c>
      <c r="M27" t="s">
        <v>381</v>
      </c>
      <c r="N27">
        <f t="shared" si="5"/>
        <v>2</v>
      </c>
      <c r="O27" t="str">
        <f t="shared" si="6"/>
        <v>splňuje</v>
      </c>
      <c r="P27" t="s">
        <v>414</v>
      </c>
      <c r="Q27" t="s">
        <v>383</v>
      </c>
      <c r="R27" t="s">
        <v>388</v>
      </c>
      <c r="S27">
        <v>10211</v>
      </c>
    </row>
    <row r="28" spans="1:19" x14ac:dyDescent="0.3">
      <c r="A28" s="82" t="s">
        <v>430</v>
      </c>
      <c r="B28" s="82" t="s">
        <v>269</v>
      </c>
      <c r="C28" s="82" t="s">
        <v>387</v>
      </c>
      <c r="D28" s="83">
        <v>26922</v>
      </c>
      <c r="E28">
        <f t="shared" ca="1" si="0"/>
        <v>49</v>
      </c>
      <c r="F28" s="83">
        <v>35557</v>
      </c>
      <c r="G28">
        <f t="shared" ca="1" si="1"/>
        <v>25</v>
      </c>
      <c r="H28">
        <v>10</v>
      </c>
      <c r="I28" t="str">
        <f t="shared" ca="1" si="2"/>
        <v>splňuje</v>
      </c>
      <c r="J28" t="str">
        <f t="shared" ca="1" si="3"/>
        <v>víc než 20</v>
      </c>
      <c r="K28" t="s">
        <v>381</v>
      </c>
      <c r="L28">
        <f t="shared" si="4"/>
        <v>2</v>
      </c>
      <c r="M28" t="s">
        <v>381</v>
      </c>
      <c r="N28">
        <f t="shared" si="5"/>
        <v>2</v>
      </c>
      <c r="O28" t="str">
        <f t="shared" si="6"/>
        <v>splňuje</v>
      </c>
      <c r="P28" t="s">
        <v>431</v>
      </c>
      <c r="Q28" t="s">
        <v>383</v>
      </c>
      <c r="R28" t="s">
        <v>396</v>
      </c>
      <c r="S28">
        <v>8929</v>
      </c>
    </row>
    <row r="29" spans="1:19" x14ac:dyDescent="0.3">
      <c r="A29" s="82" t="s">
        <v>432</v>
      </c>
      <c r="B29" s="82" t="s">
        <v>386</v>
      </c>
      <c r="C29" s="82" t="s">
        <v>387</v>
      </c>
      <c r="D29" s="83">
        <v>26456</v>
      </c>
      <c r="E29">
        <f t="shared" ca="1" si="0"/>
        <v>50</v>
      </c>
      <c r="F29" s="83">
        <v>35737</v>
      </c>
      <c r="G29">
        <f t="shared" ca="1" si="1"/>
        <v>25</v>
      </c>
      <c r="H29">
        <v>4</v>
      </c>
      <c r="I29" t="str">
        <f t="shared" ca="1" si="2"/>
        <v>splňuje</v>
      </c>
      <c r="J29" t="str">
        <f t="shared" ca="1" si="3"/>
        <v>víc než 20</v>
      </c>
      <c r="K29" t="s">
        <v>381</v>
      </c>
      <c r="L29">
        <f t="shared" si="4"/>
        <v>2</v>
      </c>
      <c r="M29" t="s">
        <v>381</v>
      </c>
      <c r="N29">
        <f t="shared" si="5"/>
        <v>2</v>
      </c>
      <c r="O29" t="str">
        <f t="shared" si="6"/>
        <v>splňuje</v>
      </c>
      <c r="P29" t="s">
        <v>431</v>
      </c>
      <c r="Q29" t="s">
        <v>383</v>
      </c>
      <c r="R29" t="s">
        <v>384</v>
      </c>
      <c r="S29">
        <v>11531</v>
      </c>
    </row>
    <row r="30" spans="1:19" x14ac:dyDescent="0.3">
      <c r="A30" s="82" t="s">
        <v>433</v>
      </c>
      <c r="B30" s="82" t="s">
        <v>434</v>
      </c>
      <c r="C30" s="82" t="s">
        <v>380</v>
      </c>
      <c r="D30" s="83">
        <v>24569</v>
      </c>
      <c r="E30">
        <f t="shared" ca="1" si="0"/>
        <v>55</v>
      </c>
      <c r="F30" s="83">
        <v>33967</v>
      </c>
      <c r="G30">
        <f t="shared" ca="1" si="1"/>
        <v>30</v>
      </c>
      <c r="H30">
        <v>2</v>
      </c>
      <c r="I30" t="str">
        <f t="shared" ca="1" si="2"/>
        <v>splňuje</v>
      </c>
      <c r="J30" t="str">
        <f t="shared" ca="1" si="3"/>
        <v>víc než 20</v>
      </c>
      <c r="K30" t="s">
        <v>381</v>
      </c>
      <c r="L30">
        <f t="shared" si="4"/>
        <v>2</v>
      </c>
      <c r="M30" t="s">
        <v>381</v>
      </c>
      <c r="N30">
        <f t="shared" si="5"/>
        <v>2</v>
      </c>
      <c r="O30" t="str">
        <f t="shared" si="6"/>
        <v>splňuje</v>
      </c>
      <c r="P30" t="s">
        <v>431</v>
      </c>
      <c r="Q30" t="s">
        <v>383</v>
      </c>
      <c r="R30" t="s">
        <v>400</v>
      </c>
      <c r="S30">
        <v>13158</v>
      </c>
    </row>
    <row r="31" spans="1:19" x14ac:dyDescent="0.3">
      <c r="A31" s="82" t="s">
        <v>435</v>
      </c>
      <c r="B31" s="82" t="s">
        <v>423</v>
      </c>
      <c r="C31" s="82" t="s">
        <v>387</v>
      </c>
      <c r="D31" s="83">
        <v>22492</v>
      </c>
      <c r="E31">
        <f t="shared" ca="1" si="0"/>
        <v>61</v>
      </c>
      <c r="F31" s="83">
        <v>32731</v>
      </c>
      <c r="G31">
        <f t="shared" ca="1" si="1"/>
        <v>33</v>
      </c>
      <c r="H31">
        <v>8</v>
      </c>
      <c r="I31" t="str">
        <f t="shared" ca="1" si="2"/>
        <v>splňuje</v>
      </c>
      <c r="J31" t="str">
        <f t="shared" ca="1" si="3"/>
        <v>víc než 20</v>
      </c>
      <c r="K31" t="s">
        <v>381</v>
      </c>
      <c r="L31">
        <f t="shared" si="4"/>
        <v>2</v>
      </c>
      <c r="M31" t="s">
        <v>381</v>
      </c>
      <c r="N31">
        <f t="shared" si="5"/>
        <v>2</v>
      </c>
      <c r="O31" t="str">
        <f t="shared" si="6"/>
        <v>splňuje</v>
      </c>
      <c r="P31" t="s">
        <v>431</v>
      </c>
      <c r="Q31" t="s">
        <v>383</v>
      </c>
      <c r="R31" t="s">
        <v>411</v>
      </c>
      <c r="S31">
        <v>11634</v>
      </c>
    </row>
    <row r="32" spans="1:19" x14ac:dyDescent="0.3">
      <c r="A32" s="82" t="s">
        <v>436</v>
      </c>
      <c r="B32" s="82" t="s">
        <v>195</v>
      </c>
      <c r="C32" s="82" t="s">
        <v>387</v>
      </c>
      <c r="D32" s="83">
        <v>21711</v>
      </c>
      <c r="E32">
        <f t="shared" ca="1" si="0"/>
        <v>63</v>
      </c>
      <c r="F32" s="83">
        <v>29707</v>
      </c>
      <c r="G32">
        <f t="shared" ca="1" si="1"/>
        <v>41</v>
      </c>
      <c r="H32">
        <v>8</v>
      </c>
      <c r="I32" t="str">
        <f t="shared" ca="1" si="2"/>
        <v>splňuje</v>
      </c>
      <c r="J32" t="str">
        <f t="shared" ca="1" si="3"/>
        <v>víc než 20</v>
      </c>
      <c r="K32" t="s">
        <v>381</v>
      </c>
      <c r="L32">
        <f t="shared" si="4"/>
        <v>2</v>
      </c>
      <c r="M32" t="s">
        <v>381</v>
      </c>
      <c r="N32">
        <f t="shared" si="5"/>
        <v>2</v>
      </c>
      <c r="O32" t="str">
        <f t="shared" si="6"/>
        <v>splňuje</v>
      </c>
      <c r="P32" t="s">
        <v>431</v>
      </c>
      <c r="Q32" t="s">
        <v>383</v>
      </c>
      <c r="R32" t="s">
        <v>409</v>
      </c>
      <c r="S32">
        <v>12446</v>
      </c>
    </row>
    <row r="33" spans="1:19" x14ac:dyDescent="0.3">
      <c r="A33" s="82" t="s">
        <v>437</v>
      </c>
      <c r="B33" s="82" t="s">
        <v>438</v>
      </c>
      <c r="C33" s="82" t="s">
        <v>387</v>
      </c>
      <c r="D33" s="83">
        <v>21058</v>
      </c>
      <c r="E33">
        <f t="shared" ca="1" si="0"/>
        <v>65</v>
      </c>
      <c r="F33" s="83">
        <v>31177</v>
      </c>
      <c r="G33">
        <f t="shared" ca="1" si="1"/>
        <v>37</v>
      </c>
      <c r="H33">
        <v>0</v>
      </c>
      <c r="I33" t="str">
        <f t="shared" ca="1" si="2"/>
        <v>splňuje</v>
      </c>
      <c r="J33" t="str">
        <f t="shared" ca="1" si="3"/>
        <v>víc než 20</v>
      </c>
      <c r="K33" t="s">
        <v>381</v>
      </c>
      <c r="L33">
        <f t="shared" si="4"/>
        <v>2</v>
      </c>
      <c r="M33" t="s">
        <v>381</v>
      </c>
      <c r="N33">
        <f t="shared" si="5"/>
        <v>2</v>
      </c>
      <c r="O33" t="str">
        <f t="shared" si="6"/>
        <v>splňuje</v>
      </c>
      <c r="P33" t="s">
        <v>431</v>
      </c>
      <c r="Q33" t="s">
        <v>383</v>
      </c>
      <c r="R33" t="s">
        <v>402</v>
      </c>
      <c r="S33">
        <v>10007</v>
      </c>
    </row>
    <row r="34" spans="1:19" x14ac:dyDescent="0.3">
      <c r="A34" s="82" t="s">
        <v>439</v>
      </c>
      <c r="B34" s="82" t="s">
        <v>440</v>
      </c>
      <c r="C34" s="82" t="s">
        <v>387</v>
      </c>
      <c r="D34" s="83">
        <v>17506</v>
      </c>
      <c r="E34">
        <f t="shared" ca="1" si="0"/>
        <v>75</v>
      </c>
      <c r="F34" s="83">
        <v>27184</v>
      </c>
      <c r="G34">
        <f t="shared" ca="1" si="1"/>
        <v>48</v>
      </c>
      <c r="H34">
        <v>10</v>
      </c>
      <c r="I34" t="str">
        <f t="shared" ca="1" si="2"/>
        <v>splňuje</v>
      </c>
      <c r="J34" t="str">
        <f t="shared" ca="1" si="3"/>
        <v>víc než 20</v>
      </c>
      <c r="K34" t="s">
        <v>399</v>
      </c>
      <c r="L34">
        <f t="shared" si="4"/>
        <v>3</v>
      </c>
      <c r="M34" t="s">
        <v>399</v>
      </c>
      <c r="N34">
        <f t="shared" si="5"/>
        <v>3</v>
      </c>
      <c r="O34" t="str">
        <f t="shared" si="6"/>
        <v>splňuje</v>
      </c>
      <c r="P34" t="s">
        <v>431</v>
      </c>
      <c r="Q34" t="s">
        <v>405</v>
      </c>
      <c r="R34" t="s">
        <v>406</v>
      </c>
      <c r="S34">
        <v>13650</v>
      </c>
    </row>
    <row r="35" spans="1:19" x14ac:dyDescent="0.3">
      <c r="A35" s="82" t="s">
        <v>441</v>
      </c>
      <c r="B35" s="82" t="s">
        <v>386</v>
      </c>
      <c r="C35" s="82" t="s">
        <v>387</v>
      </c>
      <c r="D35" s="83">
        <v>16593</v>
      </c>
      <c r="E35">
        <f t="shared" ca="1" si="0"/>
        <v>77</v>
      </c>
      <c r="F35" s="83">
        <v>34385</v>
      </c>
      <c r="G35">
        <f t="shared" ca="1" si="1"/>
        <v>28</v>
      </c>
      <c r="H35">
        <v>0</v>
      </c>
      <c r="I35" t="str">
        <f t="shared" ca="1" si="2"/>
        <v>splňuje</v>
      </c>
      <c r="J35" t="str">
        <f t="shared" ca="1" si="3"/>
        <v>víc než 20</v>
      </c>
      <c r="K35" t="s">
        <v>390</v>
      </c>
      <c r="L35">
        <f t="shared" si="4"/>
        <v>1</v>
      </c>
      <c r="M35" t="s">
        <v>390</v>
      </c>
      <c r="N35">
        <f t="shared" si="5"/>
        <v>1</v>
      </c>
      <c r="O35" t="str">
        <f t="shared" si="6"/>
        <v>splňuje</v>
      </c>
      <c r="P35" t="s">
        <v>431</v>
      </c>
      <c r="Q35" t="s">
        <v>383</v>
      </c>
      <c r="R35" t="s">
        <v>391</v>
      </c>
      <c r="S35">
        <v>8869</v>
      </c>
    </row>
    <row r="36" spans="1:19" x14ac:dyDescent="0.3">
      <c r="A36" s="82" t="s">
        <v>442</v>
      </c>
      <c r="B36" s="82" t="s">
        <v>271</v>
      </c>
      <c r="C36" s="82" t="s">
        <v>380</v>
      </c>
      <c r="D36" s="83">
        <v>16225</v>
      </c>
      <c r="E36">
        <f t="shared" ca="1" si="0"/>
        <v>78</v>
      </c>
      <c r="F36" s="83">
        <v>30443</v>
      </c>
      <c r="G36">
        <f t="shared" ca="1" si="1"/>
        <v>39</v>
      </c>
      <c r="H36">
        <v>2</v>
      </c>
      <c r="I36" t="str">
        <f t="shared" ca="1" si="2"/>
        <v>splňuje</v>
      </c>
      <c r="J36" t="str">
        <f t="shared" ca="1" si="3"/>
        <v>víc než 20</v>
      </c>
      <c r="K36" t="s">
        <v>381</v>
      </c>
      <c r="L36">
        <f t="shared" si="4"/>
        <v>2</v>
      </c>
      <c r="M36" t="s">
        <v>381</v>
      </c>
      <c r="N36">
        <f t="shared" si="5"/>
        <v>2</v>
      </c>
      <c r="O36" t="str">
        <f t="shared" si="6"/>
        <v>splňuje</v>
      </c>
      <c r="P36" t="s">
        <v>431</v>
      </c>
      <c r="Q36" t="s">
        <v>383</v>
      </c>
      <c r="R36" t="s">
        <v>400</v>
      </c>
      <c r="S36">
        <v>11836</v>
      </c>
    </row>
    <row r="37" spans="1:19" x14ac:dyDescent="0.3">
      <c r="A37" s="82" t="s">
        <v>443</v>
      </c>
      <c r="B37" s="82" t="s">
        <v>444</v>
      </c>
      <c r="C37" s="82" t="s">
        <v>387</v>
      </c>
      <c r="D37" s="83">
        <v>15558</v>
      </c>
      <c r="E37">
        <f t="shared" ca="1" si="0"/>
        <v>80</v>
      </c>
      <c r="F37" s="83">
        <v>23887</v>
      </c>
      <c r="G37">
        <f t="shared" ca="1" si="1"/>
        <v>57</v>
      </c>
      <c r="H37">
        <v>8</v>
      </c>
      <c r="I37" t="str">
        <f t="shared" ca="1" si="2"/>
        <v>splňuje</v>
      </c>
      <c r="J37" t="str">
        <f t="shared" ca="1" si="3"/>
        <v>víc než 20</v>
      </c>
      <c r="K37" t="s">
        <v>381</v>
      </c>
      <c r="L37">
        <f t="shared" si="4"/>
        <v>2</v>
      </c>
      <c r="M37" t="s">
        <v>381</v>
      </c>
      <c r="N37">
        <f t="shared" si="5"/>
        <v>2</v>
      </c>
      <c r="O37" t="str">
        <f t="shared" si="6"/>
        <v>splňuje</v>
      </c>
      <c r="P37" t="s">
        <v>431</v>
      </c>
      <c r="Q37" t="s">
        <v>383</v>
      </c>
      <c r="R37" t="s">
        <v>388</v>
      </c>
      <c r="S37">
        <v>8652</v>
      </c>
    </row>
    <row r="38" spans="1:19" x14ac:dyDescent="0.3">
      <c r="A38" s="82" t="s">
        <v>445</v>
      </c>
      <c r="B38" s="82" t="s">
        <v>274</v>
      </c>
      <c r="C38" s="82" t="s">
        <v>380</v>
      </c>
      <c r="D38" s="83">
        <v>27771</v>
      </c>
      <c r="E38">
        <f t="shared" ca="1" si="0"/>
        <v>47</v>
      </c>
      <c r="F38" s="83">
        <v>35816</v>
      </c>
      <c r="G38">
        <f t="shared" ca="1" si="1"/>
        <v>25</v>
      </c>
      <c r="H38">
        <v>2</v>
      </c>
      <c r="I38" t="str">
        <f t="shared" ca="1" si="2"/>
        <v>splňuje</v>
      </c>
      <c r="J38" t="str">
        <f t="shared" ca="1" si="3"/>
        <v>víc než 20</v>
      </c>
      <c r="K38" t="s">
        <v>381</v>
      </c>
      <c r="L38">
        <f t="shared" si="4"/>
        <v>2</v>
      </c>
      <c r="M38" t="s">
        <v>381</v>
      </c>
      <c r="N38">
        <f t="shared" si="5"/>
        <v>2</v>
      </c>
      <c r="O38" t="str">
        <f t="shared" si="6"/>
        <v>splňuje</v>
      </c>
      <c r="P38" t="s">
        <v>383</v>
      </c>
      <c r="Q38" t="s">
        <v>383</v>
      </c>
      <c r="R38" t="s">
        <v>400</v>
      </c>
      <c r="S38">
        <v>14507</v>
      </c>
    </row>
    <row r="39" spans="1:19" x14ac:dyDescent="0.3">
      <c r="A39" s="82" t="s">
        <v>446</v>
      </c>
      <c r="B39" s="82" t="s">
        <v>266</v>
      </c>
      <c r="C39" s="82" t="s">
        <v>387</v>
      </c>
      <c r="D39" s="83">
        <v>26288</v>
      </c>
      <c r="E39">
        <f t="shared" ca="1" si="0"/>
        <v>51</v>
      </c>
      <c r="F39" s="83">
        <v>34575</v>
      </c>
      <c r="G39">
        <f t="shared" ca="1" si="1"/>
        <v>28</v>
      </c>
      <c r="H39">
        <v>8</v>
      </c>
      <c r="I39" t="str">
        <f t="shared" ca="1" si="2"/>
        <v>splňuje</v>
      </c>
      <c r="J39" t="str">
        <f t="shared" ca="1" si="3"/>
        <v>víc než 20</v>
      </c>
      <c r="K39" t="s">
        <v>381</v>
      </c>
      <c r="L39">
        <f t="shared" si="4"/>
        <v>2</v>
      </c>
      <c r="M39" t="s">
        <v>381</v>
      </c>
      <c r="N39">
        <f t="shared" si="5"/>
        <v>2</v>
      </c>
      <c r="O39" t="str">
        <f t="shared" si="6"/>
        <v>splňuje</v>
      </c>
      <c r="P39" t="s">
        <v>383</v>
      </c>
      <c r="Q39" t="s">
        <v>383</v>
      </c>
      <c r="R39" t="s">
        <v>388</v>
      </c>
      <c r="S39">
        <v>13034</v>
      </c>
    </row>
    <row r="40" spans="1:19" x14ac:dyDescent="0.3">
      <c r="A40" s="82" t="s">
        <v>447</v>
      </c>
      <c r="B40" s="82" t="s">
        <v>448</v>
      </c>
      <c r="C40" s="82" t="s">
        <v>387</v>
      </c>
      <c r="D40" s="83">
        <v>26047</v>
      </c>
      <c r="E40">
        <f t="shared" ca="1" si="0"/>
        <v>51</v>
      </c>
      <c r="F40" s="83">
        <v>35197</v>
      </c>
      <c r="G40">
        <f t="shared" ca="1" si="1"/>
        <v>26</v>
      </c>
      <c r="H40">
        <v>0</v>
      </c>
      <c r="I40" t="str">
        <f t="shared" ca="1" si="2"/>
        <v>splňuje</v>
      </c>
      <c r="J40" t="str">
        <f t="shared" ca="1" si="3"/>
        <v>víc než 20</v>
      </c>
      <c r="K40" t="s">
        <v>381</v>
      </c>
      <c r="L40">
        <f t="shared" si="4"/>
        <v>2</v>
      </c>
      <c r="M40" t="s">
        <v>381</v>
      </c>
      <c r="N40">
        <f t="shared" si="5"/>
        <v>2</v>
      </c>
      <c r="O40" t="str">
        <f t="shared" si="6"/>
        <v>splňuje</v>
      </c>
      <c r="P40" t="s">
        <v>383</v>
      </c>
      <c r="Q40" t="s">
        <v>383</v>
      </c>
      <c r="R40" t="s">
        <v>402</v>
      </c>
      <c r="S40">
        <v>9228</v>
      </c>
    </row>
    <row r="41" spans="1:19" x14ac:dyDescent="0.3">
      <c r="A41" s="82" t="s">
        <v>449</v>
      </c>
      <c r="B41" s="82" t="s">
        <v>450</v>
      </c>
      <c r="C41" s="82" t="s">
        <v>380</v>
      </c>
      <c r="D41" s="83">
        <v>24116</v>
      </c>
      <c r="E41">
        <f t="shared" ca="1" si="0"/>
        <v>57</v>
      </c>
      <c r="F41" s="83">
        <v>32764</v>
      </c>
      <c r="G41">
        <f t="shared" ca="1" si="1"/>
        <v>33</v>
      </c>
      <c r="H41">
        <v>0</v>
      </c>
      <c r="I41" t="str">
        <f t="shared" ca="1" si="2"/>
        <v>splňuje</v>
      </c>
      <c r="J41" t="str">
        <f t="shared" ca="1" si="3"/>
        <v>víc než 20</v>
      </c>
      <c r="K41" t="s">
        <v>390</v>
      </c>
      <c r="L41">
        <f t="shared" si="4"/>
        <v>1</v>
      </c>
      <c r="M41" t="s">
        <v>390</v>
      </c>
      <c r="N41">
        <f t="shared" si="5"/>
        <v>1</v>
      </c>
      <c r="O41" t="str">
        <f t="shared" si="6"/>
        <v>splňuje</v>
      </c>
      <c r="P41" t="s">
        <v>383</v>
      </c>
      <c r="Q41" t="s">
        <v>383</v>
      </c>
      <c r="R41" t="s">
        <v>391</v>
      </c>
      <c r="S41">
        <v>8852</v>
      </c>
    </row>
    <row r="42" spans="1:19" x14ac:dyDescent="0.3">
      <c r="A42" s="82" t="s">
        <v>451</v>
      </c>
      <c r="B42" s="82" t="s">
        <v>416</v>
      </c>
      <c r="C42" s="82" t="s">
        <v>380</v>
      </c>
      <c r="D42" s="83">
        <v>22307</v>
      </c>
      <c r="E42">
        <f t="shared" ca="1" si="0"/>
        <v>62</v>
      </c>
      <c r="F42" s="83">
        <v>30830</v>
      </c>
      <c r="G42">
        <f t="shared" ca="1" si="1"/>
        <v>38</v>
      </c>
      <c r="H42">
        <v>0</v>
      </c>
      <c r="I42" t="str">
        <f t="shared" ca="1" si="2"/>
        <v>splňuje</v>
      </c>
      <c r="J42" t="str">
        <f t="shared" ca="1" si="3"/>
        <v>víc než 20</v>
      </c>
      <c r="K42" t="s">
        <v>381</v>
      </c>
      <c r="L42">
        <f t="shared" si="4"/>
        <v>2</v>
      </c>
      <c r="M42" t="s">
        <v>390</v>
      </c>
      <c r="N42">
        <f t="shared" si="5"/>
        <v>1</v>
      </c>
      <c r="O42" t="str">
        <f t="shared" si="6"/>
        <v>nesplňuje</v>
      </c>
      <c r="P42" t="s">
        <v>383</v>
      </c>
      <c r="Q42" t="s">
        <v>383</v>
      </c>
      <c r="R42" t="s">
        <v>394</v>
      </c>
      <c r="S42">
        <v>12877</v>
      </c>
    </row>
    <row r="43" spans="1:19" x14ac:dyDescent="0.3">
      <c r="A43" s="82" t="s">
        <v>452</v>
      </c>
      <c r="B43" s="82" t="s">
        <v>274</v>
      </c>
      <c r="C43" s="82" t="s">
        <v>380</v>
      </c>
      <c r="D43" s="83">
        <v>22326</v>
      </c>
      <c r="E43">
        <f t="shared" ca="1" si="0"/>
        <v>62</v>
      </c>
      <c r="F43" s="83">
        <v>34443</v>
      </c>
      <c r="G43">
        <f t="shared" ca="1" si="1"/>
        <v>28</v>
      </c>
      <c r="H43">
        <v>2</v>
      </c>
      <c r="I43" t="str">
        <f t="shared" ca="1" si="2"/>
        <v>splňuje</v>
      </c>
      <c r="J43" t="str">
        <f t="shared" ca="1" si="3"/>
        <v>víc než 20</v>
      </c>
      <c r="K43" t="s">
        <v>381</v>
      </c>
      <c r="L43">
        <f t="shared" si="4"/>
        <v>2</v>
      </c>
      <c r="M43" t="s">
        <v>381</v>
      </c>
      <c r="N43">
        <f t="shared" si="5"/>
        <v>2</v>
      </c>
      <c r="O43" t="str">
        <f t="shared" si="6"/>
        <v>splňuje</v>
      </c>
      <c r="P43" t="s">
        <v>383</v>
      </c>
      <c r="Q43" t="s">
        <v>383</v>
      </c>
      <c r="R43" t="s">
        <v>400</v>
      </c>
      <c r="S43">
        <v>11457</v>
      </c>
    </row>
    <row r="44" spans="1:19" x14ac:dyDescent="0.3">
      <c r="A44" s="82" t="s">
        <v>453</v>
      </c>
      <c r="B44" s="82" t="s">
        <v>454</v>
      </c>
      <c r="C44" s="82" t="s">
        <v>387</v>
      </c>
      <c r="D44" s="83">
        <v>19545</v>
      </c>
      <c r="E44">
        <f t="shared" ca="1" si="0"/>
        <v>69</v>
      </c>
      <c r="F44" s="83">
        <v>27181</v>
      </c>
      <c r="G44">
        <f t="shared" ca="1" si="1"/>
        <v>48</v>
      </c>
      <c r="H44">
        <v>4</v>
      </c>
      <c r="I44" t="str">
        <f t="shared" ca="1" si="2"/>
        <v>splňuje</v>
      </c>
      <c r="J44" t="str">
        <f t="shared" ca="1" si="3"/>
        <v>víc než 20</v>
      </c>
      <c r="K44" t="s">
        <v>381</v>
      </c>
      <c r="L44">
        <f t="shared" si="4"/>
        <v>2</v>
      </c>
      <c r="M44" t="s">
        <v>381</v>
      </c>
      <c r="N44">
        <f t="shared" si="5"/>
        <v>2</v>
      </c>
      <c r="O44" t="str">
        <f t="shared" si="6"/>
        <v>splňuje</v>
      </c>
      <c r="P44" t="s">
        <v>383</v>
      </c>
      <c r="Q44" t="s">
        <v>383</v>
      </c>
      <c r="R44" t="s">
        <v>384</v>
      </c>
      <c r="S44">
        <v>8186</v>
      </c>
    </row>
    <row r="45" spans="1:19" x14ac:dyDescent="0.3">
      <c r="A45" s="82" t="s">
        <v>455</v>
      </c>
      <c r="B45" s="82" t="s">
        <v>456</v>
      </c>
      <c r="C45" s="82" t="s">
        <v>387</v>
      </c>
      <c r="D45" s="83">
        <v>18942</v>
      </c>
      <c r="E45">
        <f t="shared" ca="1" si="0"/>
        <v>71</v>
      </c>
      <c r="F45" s="83">
        <v>32310</v>
      </c>
      <c r="G45">
        <f t="shared" ca="1" si="1"/>
        <v>34</v>
      </c>
      <c r="H45">
        <v>10</v>
      </c>
      <c r="I45" t="str">
        <f t="shared" ca="1" si="2"/>
        <v>splňuje</v>
      </c>
      <c r="J45" t="str">
        <f t="shared" ca="1" si="3"/>
        <v>víc než 20</v>
      </c>
      <c r="K45" t="s">
        <v>399</v>
      </c>
      <c r="L45">
        <f t="shared" si="4"/>
        <v>3</v>
      </c>
      <c r="M45" t="s">
        <v>399</v>
      </c>
      <c r="N45">
        <f t="shared" si="5"/>
        <v>3</v>
      </c>
      <c r="O45" t="str">
        <f t="shared" si="6"/>
        <v>splňuje</v>
      </c>
      <c r="P45" t="s">
        <v>383</v>
      </c>
      <c r="Q45" t="s">
        <v>405</v>
      </c>
      <c r="R45" t="s">
        <v>406</v>
      </c>
      <c r="S45">
        <v>8319</v>
      </c>
    </row>
    <row r="46" spans="1:19" x14ac:dyDescent="0.3">
      <c r="A46" s="82" t="s">
        <v>457</v>
      </c>
      <c r="B46" s="82" t="s">
        <v>458</v>
      </c>
      <c r="C46" s="82" t="s">
        <v>387</v>
      </c>
      <c r="D46" s="83">
        <v>15263</v>
      </c>
      <c r="E46">
        <f t="shared" ca="1" si="0"/>
        <v>81</v>
      </c>
      <c r="F46" s="83">
        <v>29600</v>
      </c>
      <c r="G46">
        <f t="shared" ca="1" si="1"/>
        <v>42</v>
      </c>
      <c r="H46">
        <v>8</v>
      </c>
      <c r="I46" t="str">
        <f t="shared" ca="1" si="2"/>
        <v>splňuje</v>
      </c>
      <c r="J46" t="str">
        <f t="shared" ca="1" si="3"/>
        <v>víc než 20</v>
      </c>
      <c r="K46" t="s">
        <v>381</v>
      </c>
      <c r="L46">
        <f t="shared" si="4"/>
        <v>2</v>
      </c>
      <c r="M46" t="s">
        <v>381</v>
      </c>
      <c r="N46">
        <f t="shared" si="5"/>
        <v>2</v>
      </c>
      <c r="O46" t="str">
        <f t="shared" si="6"/>
        <v>splňuje</v>
      </c>
      <c r="P46" t="s">
        <v>383</v>
      </c>
      <c r="Q46" t="s">
        <v>383</v>
      </c>
      <c r="R46" t="s">
        <v>409</v>
      </c>
      <c r="S46">
        <v>14565</v>
      </c>
    </row>
    <row r="47" spans="1:19" x14ac:dyDescent="0.3">
      <c r="A47" s="82" t="s">
        <v>459</v>
      </c>
      <c r="B47" s="82" t="s">
        <v>423</v>
      </c>
      <c r="C47" s="82" t="s">
        <v>387</v>
      </c>
      <c r="D47" s="83">
        <v>27891</v>
      </c>
      <c r="E47">
        <f t="shared" ca="1" si="0"/>
        <v>46</v>
      </c>
      <c r="F47" s="83">
        <v>35826</v>
      </c>
      <c r="G47">
        <f t="shared" ca="1" si="1"/>
        <v>25</v>
      </c>
      <c r="H47">
        <v>2</v>
      </c>
      <c r="I47" t="str">
        <f t="shared" ca="1" si="2"/>
        <v>splňuje</v>
      </c>
      <c r="J47" t="str">
        <f t="shared" ca="1" si="3"/>
        <v>víc než 20</v>
      </c>
      <c r="K47" t="s">
        <v>390</v>
      </c>
      <c r="L47">
        <f t="shared" si="4"/>
        <v>1</v>
      </c>
      <c r="M47" t="s">
        <v>381</v>
      </c>
      <c r="N47">
        <f t="shared" si="5"/>
        <v>2</v>
      </c>
      <c r="O47" t="str">
        <f t="shared" si="6"/>
        <v>překračuje</v>
      </c>
      <c r="P47" t="s">
        <v>460</v>
      </c>
      <c r="Q47" t="s">
        <v>383</v>
      </c>
      <c r="R47" t="s">
        <v>400</v>
      </c>
      <c r="S47">
        <v>13082</v>
      </c>
    </row>
    <row r="48" spans="1:19" x14ac:dyDescent="0.3">
      <c r="A48" s="82" t="s">
        <v>461</v>
      </c>
      <c r="B48" s="82" t="s">
        <v>462</v>
      </c>
      <c r="C48" s="82" t="s">
        <v>380</v>
      </c>
      <c r="D48" s="83">
        <v>26497</v>
      </c>
      <c r="E48">
        <f t="shared" ca="1" si="0"/>
        <v>50</v>
      </c>
      <c r="F48" s="83">
        <v>34005</v>
      </c>
      <c r="G48">
        <f t="shared" ca="1" si="1"/>
        <v>30</v>
      </c>
      <c r="H48">
        <v>2</v>
      </c>
      <c r="I48" t="str">
        <f t="shared" ca="1" si="2"/>
        <v>splňuje</v>
      </c>
      <c r="J48" t="str">
        <f t="shared" ca="1" si="3"/>
        <v>víc než 20</v>
      </c>
      <c r="K48" t="s">
        <v>390</v>
      </c>
      <c r="L48">
        <f t="shared" si="4"/>
        <v>1</v>
      </c>
      <c r="M48" t="s">
        <v>381</v>
      </c>
      <c r="N48">
        <f t="shared" si="5"/>
        <v>2</v>
      </c>
      <c r="O48" t="str">
        <f t="shared" si="6"/>
        <v>překračuje</v>
      </c>
      <c r="P48" t="s">
        <v>460</v>
      </c>
      <c r="Q48" t="s">
        <v>383</v>
      </c>
      <c r="R48" t="s">
        <v>400</v>
      </c>
      <c r="S48">
        <v>10598</v>
      </c>
    </row>
    <row r="49" spans="1:19" x14ac:dyDescent="0.3">
      <c r="A49" s="82" t="s">
        <v>463</v>
      </c>
      <c r="B49" s="82" t="s">
        <v>464</v>
      </c>
      <c r="C49" s="82" t="s">
        <v>387</v>
      </c>
      <c r="D49" s="83">
        <v>24269</v>
      </c>
      <c r="E49">
        <f t="shared" ca="1" si="0"/>
        <v>56</v>
      </c>
      <c r="F49" s="83">
        <v>34655</v>
      </c>
      <c r="G49">
        <f t="shared" ca="1" si="1"/>
        <v>28</v>
      </c>
      <c r="H49">
        <v>15</v>
      </c>
      <c r="I49" t="str">
        <f t="shared" ca="1" si="2"/>
        <v>splňuje</v>
      </c>
      <c r="J49" t="str">
        <f t="shared" ca="1" si="3"/>
        <v>víc než 20</v>
      </c>
      <c r="K49" t="s">
        <v>465</v>
      </c>
      <c r="L49">
        <f t="shared" si="4"/>
        <v>4</v>
      </c>
      <c r="M49" t="s">
        <v>465</v>
      </c>
      <c r="N49">
        <f t="shared" si="5"/>
        <v>4</v>
      </c>
      <c r="O49" t="str">
        <f t="shared" si="6"/>
        <v>splňuje</v>
      </c>
      <c r="P49" t="s">
        <v>460</v>
      </c>
      <c r="Q49" t="s">
        <v>405</v>
      </c>
      <c r="R49" t="s">
        <v>466</v>
      </c>
      <c r="S49">
        <v>14329</v>
      </c>
    </row>
    <row r="50" spans="1:19" x14ac:dyDescent="0.3">
      <c r="A50" s="82" t="s">
        <v>467</v>
      </c>
      <c r="B50" s="82" t="s">
        <v>468</v>
      </c>
      <c r="C50" s="82" t="s">
        <v>380</v>
      </c>
      <c r="D50" s="83">
        <v>21719</v>
      </c>
      <c r="E50">
        <f t="shared" ca="1" si="0"/>
        <v>63</v>
      </c>
      <c r="F50" s="83">
        <v>34615</v>
      </c>
      <c r="G50">
        <f t="shared" ca="1" si="1"/>
        <v>28</v>
      </c>
      <c r="H50">
        <v>2</v>
      </c>
      <c r="I50" t="str">
        <f t="shared" ca="1" si="2"/>
        <v>splňuje</v>
      </c>
      <c r="J50" t="str">
        <f t="shared" ca="1" si="3"/>
        <v>víc než 20</v>
      </c>
      <c r="K50" t="s">
        <v>381</v>
      </c>
      <c r="L50">
        <f t="shared" si="4"/>
        <v>2</v>
      </c>
      <c r="M50" t="s">
        <v>381</v>
      </c>
      <c r="N50">
        <f t="shared" si="5"/>
        <v>2</v>
      </c>
      <c r="O50" t="str">
        <f t="shared" si="6"/>
        <v>splňuje</v>
      </c>
      <c r="P50" t="s">
        <v>460</v>
      </c>
      <c r="Q50" t="s">
        <v>383</v>
      </c>
      <c r="R50" t="s">
        <v>400</v>
      </c>
      <c r="S50">
        <v>10451</v>
      </c>
    </row>
    <row r="51" spans="1:19" x14ac:dyDescent="0.3">
      <c r="A51" s="82" t="s">
        <v>469</v>
      </c>
      <c r="B51" s="82" t="s">
        <v>470</v>
      </c>
      <c r="C51" s="82" t="s">
        <v>380</v>
      </c>
      <c r="D51" s="83">
        <v>17056</v>
      </c>
      <c r="E51">
        <f t="shared" ca="1" si="0"/>
        <v>76</v>
      </c>
      <c r="F51" s="83">
        <v>32600</v>
      </c>
      <c r="G51">
        <f t="shared" ca="1" si="1"/>
        <v>33</v>
      </c>
      <c r="H51">
        <v>15</v>
      </c>
      <c r="I51" t="str">
        <f t="shared" ca="1" si="2"/>
        <v>splňuje</v>
      </c>
      <c r="J51" t="str">
        <f t="shared" ca="1" si="3"/>
        <v>víc než 20</v>
      </c>
      <c r="K51" t="s">
        <v>465</v>
      </c>
      <c r="L51">
        <f t="shared" si="4"/>
        <v>4</v>
      </c>
      <c r="M51" t="s">
        <v>465</v>
      </c>
      <c r="N51">
        <f t="shared" si="5"/>
        <v>4</v>
      </c>
      <c r="O51" t="str">
        <f t="shared" si="6"/>
        <v>splňuje</v>
      </c>
      <c r="P51" t="s">
        <v>460</v>
      </c>
      <c r="Q51" t="s">
        <v>405</v>
      </c>
      <c r="R51" t="s">
        <v>471</v>
      </c>
      <c r="S51">
        <v>10608</v>
      </c>
    </row>
    <row r="52" spans="1:19" x14ac:dyDescent="0.3">
      <c r="A52" s="82" t="s">
        <v>472</v>
      </c>
      <c r="B52" s="82" t="s">
        <v>473</v>
      </c>
      <c r="C52" s="82" t="s">
        <v>380</v>
      </c>
      <c r="D52" s="83">
        <v>27390</v>
      </c>
      <c r="E52">
        <f t="shared" ca="1" si="0"/>
        <v>48</v>
      </c>
      <c r="F52" s="83">
        <v>35350</v>
      </c>
      <c r="G52">
        <f t="shared" ca="1" si="1"/>
        <v>26</v>
      </c>
      <c r="H52">
        <v>2</v>
      </c>
      <c r="I52" t="str">
        <f t="shared" ca="1" si="2"/>
        <v>splňuje</v>
      </c>
      <c r="J52" t="str">
        <f t="shared" ca="1" si="3"/>
        <v>víc než 20</v>
      </c>
      <c r="K52" t="s">
        <v>390</v>
      </c>
      <c r="L52">
        <f t="shared" si="4"/>
        <v>1</v>
      </c>
      <c r="M52" t="s">
        <v>390</v>
      </c>
      <c r="N52">
        <f t="shared" si="5"/>
        <v>1</v>
      </c>
      <c r="O52" t="str">
        <f t="shared" si="6"/>
        <v>splňuje</v>
      </c>
      <c r="P52" t="s">
        <v>474</v>
      </c>
      <c r="Q52" t="s">
        <v>383</v>
      </c>
      <c r="R52" t="s">
        <v>475</v>
      </c>
      <c r="S52">
        <v>12610</v>
      </c>
    </row>
    <row r="53" spans="1:19" x14ac:dyDescent="0.3">
      <c r="A53" s="82" t="s">
        <v>476</v>
      </c>
      <c r="B53" s="82" t="s">
        <v>386</v>
      </c>
      <c r="C53" s="82" t="s">
        <v>387</v>
      </c>
      <c r="D53" s="83">
        <v>27178</v>
      </c>
      <c r="E53">
        <f t="shared" ca="1" si="0"/>
        <v>48</v>
      </c>
      <c r="F53" s="83">
        <v>35538</v>
      </c>
      <c r="G53">
        <f t="shared" ca="1" si="1"/>
        <v>25</v>
      </c>
      <c r="H53">
        <v>2</v>
      </c>
      <c r="I53" t="str">
        <f t="shared" ca="1" si="2"/>
        <v>splňuje</v>
      </c>
      <c r="J53" t="str">
        <f t="shared" ca="1" si="3"/>
        <v>víc než 20</v>
      </c>
      <c r="K53" t="s">
        <v>381</v>
      </c>
      <c r="L53">
        <f t="shared" si="4"/>
        <v>2</v>
      </c>
      <c r="M53" t="s">
        <v>390</v>
      </c>
      <c r="N53">
        <f t="shared" si="5"/>
        <v>1</v>
      </c>
      <c r="O53" t="str">
        <f t="shared" si="6"/>
        <v>nesplňuje</v>
      </c>
      <c r="P53" t="s">
        <v>474</v>
      </c>
      <c r="Q53" t="s">
        <v>383</v>
      </c>
      <c r="R53" t="s">
        <v>475</v>
      </c>
      <c r="S53">
        <v>12487</v>
      </c>
    </row>
    <row r="54" spans="1:19" x14ac:dyDescent="0.3">
      <c r="A54" s="82" t="s">
        <v>477</v>
      </c>
      <c r="B54" s="82" t="s">
        <v>423</v>
      </c>
      <c r="C54" s="82" t="s">
        <v>387</v>
      </c>
      <c r="D54" s="83">
        <v>26151</v>
      </c>
      <c r="E54">
        <f t="shared" ca="1" si="0"/>
        <v>51</v>
      </c>
      <c r="F54" s="83">
        <v>34332</v>
      </c>
      <c r="G54">
        <f t="shared" ca="1" si="1"/>
        <v>29</v>
      </c>
      <c r="H54">
        <v>2</v>
      </c>
      <c r="I54" t="str">
        <f t="shared" ca="1" si="2"/>
        <v>splňuje</v>
      </c>
      <c r="J54" t="str">
        <f t="shared" ca="1" si="3"/>
        <v>víc než 20</v>
      </c>
      <c r="K54" t="s">
        <v>390</v>
      </c>
      <c r="L54">
        <f t="shared" si="4"/>
        <v>1</v>
      </c>
      <c r="M54" t="s">
        <v>390</v>
      </c>
      <c r="N54">
        <f t="shared" si="5"/>
        <v>1</v>
      </c>
      <c r="O54" t="str">
        <f t="shared" si="6"/>
        <v>splňuje</v>
      </c>
      <c r="P54" t="s">
        <v>474</v>
      </c>
      <c r="Q54" t="s">
        <v>383</v>
      </c>
      <c r="R54" t="s">
        <v>475</v>
      </c>
      <c r="S54">
        <v>14525</v>
      </c>
    </row>
    <row r="55" spans="1:19" x14ac:dyDescent="0.3">
      <c r="A55" s="82" t="s">
        <v>478</v>
      </c>
      <c r="B55" s="82" t="s">
        <v>195</v>
      </c>
      <c r="C55" s="82" t="s">
        <v>387</v>
      </c>
      <c r="D55" s="83">
        <v>23356</v>
      </c>
      <c r="E55">
        <f t="shared" ca="1" si="0"/>
        <v>59</v>
      </c>
      <c r="F55" s="83">
        <v>32114</v>
      </c>
      <c r="G55">
        <f t="shared" ca="1" si="1"/>
        <v>35</v>
      </c>
      <c r="H55">
        <v>2</v>
      </c>
      <c r="I55" t="str">
        <f t="shared" ca="1" si="2"/>
        <v>splňuje</v>
      </c>
      <c r="J55" t="str">
        <f t="shared" ca="1" si="3"/>
        <v>víc než 20</v>
      </c>
      <c r="K55" t="s">
        <v>381</v>
      </c>
      <c r="L55">
        <f t="shared" si="4"/>
        <v>2</v>
      </c>
      <c r="M55" t="s">
        <v>390</v>
      </c>
      <c r="N55">
        <f t="shared" si="5"/>
        <v>1</v>
      </c>
      <c r="O55" t="str">
        <f t="shared" si="6"/>
        <v>nesplňuje</v>
      </c>
      <c r="P55" t="s">
        <v>474</v>
      </c>
      <c r="Q55" t="s">
        <v>383</v>
      </c>
      <c r="R55" t="s">
        <v>475</v>
      </c>
      <c r="S55">
        <v>13046</v>
      </c>
    </row>
    <row r="56" spans="1:19" x14ac:dyDescent="0.3">
      <c r="A56" s="82" t="s">
        <v>479</v>
      </c>
      <c r="B56" s="82" t="s">
        <v>423</v>
      </c>
      <c r="C56" s="82" t="s">
        <v>387</v>
      </c>
      <c r="D56" s="83">
        <v>22857</v>
      </c>
      <c r="E56">
        <f t="shared" ca="1" si="0"/>
        <v>60</v>
      </c>
      <c r="F56" s="83">
        <v>32683</v>
      </c>
      <c r="G56">
        <f t="shared" ca="1" si="1"/>
        <v>33</v>
      </c>
      <c r="H56">
        <v>2</v>
      </c>
      <c r="I56" t="str">
        <f t="shared" ca="1" si="2"/>
        <v>splňuje</v>
      </c>
      <c r="J56" t="str">
        <f t="shared" ca="1" si="3"/>
        <v>víc než 20</v>
      </c>
      <c r="K56" t="s">
        <v>381</v>
      </c>
      <c r="L56">
        <f t="shared" si="4"/>
        <v>2</v>
      </c>
      <c r="M56" t="s">
        <v>390</v>
      </c>
      <c r="N56">
        <f t="shared" si="5"/>
        <v>1</v>
      </c>
      <c r="O56" t="str">
        <f t="shared" si="6"/>
        <v>nesplňuje</v>
      </c>
      <c r="P56" t="s">
        <v>474</v>
      </c>
      <c r="Q56" t="s">
        <v>383</v>
      </c>
      <c r="R56" t="s">
        <v>475</v>
      </c>
      <c r="S56">
        <v>8016</v>
      </c>
    </row>
    <row r="57" spans="1:19" x14ac:dyDescent="0.3">
      <c r="A57" s="82" t="s">
        <v>480</v>
      </c>
      <c r="B57" s="82" t="s">
        <v>195</v>
      </c>
      <c r="C57" s="82" t="s">
        <v>387</v>
      </c>
      <c r="D57" s="83">
        <v>22192</v>
      </c>
      <c r="E57">
        <f t="shared" ca="1" si="0"/>
        <v>62</v>
      </c>
      <c r="F57" s="83">
        <v>32842</v>
      </c>
      <c r="G57">
        <f t="shared" ca="1" si="1"/>
        <v>33</v>
      </c>
      <c r="H57">
        <v>2</v>
      </c>
      <c r="I57" t="str">
        <f t="shared" ca="1" si="2"/>
        <v>splňuje</v>
      </c>
      <c r="J57" t="str">
        <f t="shared" ca="1" si="3"/>
        <v>víc než 20</v>
      </c>
      <c r="K57" t="s">
        <v>381</v>
      </c>
      <c r="L57">
        <f t="shared" si="4"/>
        <v>2</v>
      </c>
      <c r="M57" t="s">
        <v>390</v>
      </c>
      <c r="N57">
        <f t="shared" si="5"/>
        <v>1</v>
      </c>
      <c r="O57" t="str">
        <f t="shared" si="6"/>
        <v>nesplňuje</v>
      </c>
      <c r="P57" t="s">
        <v>474</v>
      </c>
      <c r="Q57" t="s">
        <v>383</v>
      </c>
      <c r="R57" t="s">
        <v>475</v>
      </c>
      <c r="S57">
        <v>13908</v>
      </c>
    </row>
    <row r="58" spans="1:19" x14ac:dyDescent="0.3">
      <c r="A58" s="82" t="s">
        <v>481</v>
      </c>
      <c r="B58" s="82" t="s">
        <v>482</v>
      </c>
      <c r="C58" s="82" t="s">
        <v>387</v>
      </c>
      <c r="D58" s="83">
        <v>18276</v>
      </c>
      <c r="E58">
        <f t="shared" ca="1" si="0"/>
        <v>73</v>
      </c>
      <c r="F58" s="83">
        <v>26728</v>
      </c>
      <c r="G58">
        <f t="shared" ca="1" si="1"/>
        <v>49</v>
      </c>
      <c r="H58">
        <v>5</v>
      </c>
      <c r="I58" t="str">
        <f t="shared" ca="1" si="2"/>
        <v>splňuje</v>
      </c>
      <c r="J58" t="str">
        <f t="shared" ca="1" si="3"/>
        <v>víc než 20</v>
      </c>
      <c r="K58" t="s">
        <v>390</v>
      </c>
      <c r="L58">
        <f t="shared" si="4"/>
        <v>1</v>
      </c>
      <c r="M58" t="s">
        <v>390</v>
      </c>
      <c r="N58">
        <f t="shared" si="5"/>
        <v>1</v>
      </c>
      <c r="O58" t="str">
        <f t="shared" si="6"/>
        <v>splňuje</v>
      </c>
      <c r="P58" t="s">
        <v>474</v>
      </c>
      <c r="Q58" t="s">
        <v>383</v>
      </c>
      <c r="R58" t="s">
        <v>483</v>
      </c>
      <c r="S58">
        <v>11135</v>
      </c>
    </row>
    <row r="59" spans="1:19" x14ac:dyDescent="0.3">
      <c r="A59" s="82" t="s">
        <v>484</v>
      </c>
      <c r="B59" s="82" t="s">
        <v>485</v>
      </c>
      <c r="C59" s="82" t="s">
        <v>387</v>
      </c>
      <c r="D59" s="83">
        <v>16163</v>
      </c>
      <c r="E59">
        <f t="shared" ca="1" si="0"/>
        <v>78</v>
      </c>
      <c r="F59" s="83">
        <v>29804</v>
      </c>
      <c r="G59">
        <f t="shared" ca="1" si="1"/>
        <v>41</v>
      </c>
      <c r="H59">
        <v>2</v>
      </c>
      <c r="I59" t="str">
        <f t="shared" ca="1" si="2"/>
        <v>splňuje</v>
      </c>
      <c r="J59" t="str">
        <f t="shared" ca="1" si="3"/>
        <v>víc než 20</v>
      </c>
      <c r="K59" t="s">
        <v>390</v>
      </c>
      <c r="L59">
        <f t="shared" si="4"/>
        <v>1</v>
      </c>
      <c r="M59" t="s">
        <v>390</v>
      </c>
      <c r="N59">
        <f t="shared" si="5"/>
        <v>1</v>
      </c>
      <c r="O59" t="str">
        <f t="shared" si="6"/>
        <v>splňuje</v>
      </c>
      <c r="P59" t="s">
        <v>474</v>
      </c>
      <c r="Q59" t="s">
        <v>383</v>
      </c>
      <c r="R59" t="s">
        <v>475</v>
      </c>
      <c r="S59">
        <v>9356</v>
      </c>
    </row>
    <row r="60" spans="1:19" x14ac:dyDescent="0.3">
      <c r="A60" s="82" t="s">
        <v>486</v>
      </c>
      <c r="B60" s="82" t="s">
        <v>271</v>
      </c>
      <c r="C60" s="82" t="s">
        <v>380</v>
      </c>
      <c r="D60" s="83">
        <v>15089</v>
      </c>
      <c r="E60">
        <f t="shared" ca="1" si="0"/>
        <v>81</v>
      </c>
      <c r="F60" s="83">
        <v>26035</v>
      </c>
      <c r="G60">
        <f t="shared" ca="1" si="1"/>
        <v>51</v>
      </c>
      <c r="H60">
        <v>2</v>
      </c>
      <c r="I60" t="str">
        <f t="shared" ca="1" si="2"/>
        <v>splňuje</v>
      </c>
      <c r="J60" t="str">
        <f t="shared" ca="1" si="3"/>
        <v>víc než 20</v>
      </c>
      <c r="K60" t="s">
        <v>381</v>
      </c>
      <c r="L60">
        <f t="shared" si="4"/>
        <v>2</v>
      </c>
      <c r="M60" t="s">
        <v>390</v>
      </c>
      <c r="N60">
        <f t="shared" si="5"/>
        <v>1</v>
      </c>
      <c r="O60" t="str">
        <f t="shared" si="6"/>
        <v>nesplňuje</v>
      </c>
      <c r="P60" t="s">
        <v>474</v>
      </c>
      <c r="Q60" t="s">
        <v>383</v>
      </c>
      <c r="R60" t="s">
        <v>475</v>
      </c>
      <c r="S60">
        <v>9548</v>
      </c>
    </row>
    <row r="61" spans="1:19" x14ac:dyDescent="0.3">
      <c r="A61" s="82" t="s">
        <v>487</v>
      </c>
      <c r="B61" s="82" t="s">
        <v>273</v>
      </c>
      <c r="C61" s="82" t="s">
        <v>380</v>
      </c>
      <c r="D61" s="83">
        <v>26767</v>
      </c>
      <c r="E61">
        <f t="shared" ca="1" si="0"/>
        <v>49</v>
      </c>
      <c r="F61" s="83">
        <v>35563</v>
      </c>
      <c r="G61">
        <f t="shared" ca="1" si="1"/>
        <v>25</v>
      </c>
      <c r="H61">
        <v>20</v>
      </c>
      <c r="I61" t="str">
        <f t="shared" ca="1" si="2"/>
        <v>splňuje</v>
      </c>
      <c r="J61" t="str">
        <f t="shared" ca="1" si="3"/>
        <v>víc než 20</v>
      </c>
      <c r="K61" t="s">
        <v>465</v>
      </c>
      <c r="L61">
        <f t="shared" si="4"/>
        <v>4</v>
      </c>
      <c r="M61" t="s">
        <v>465</v>
      </c>
      <c r="N61">
        <f t="shared" si="5"/>
        <v>4</v>
      </c>
      <c r="O61" t="str">
        <f t="shared" si="6"/>
        <v>splňuje</v>
      </c>
      <c r="P61" t="s">
        <v>488</v>
      </c>
      <c r="Q61" t="s">
        <v>405</v>
      </c>
      <c r="R61" t="s">
        <v>489</v>
      </c>
      <c r="S61">
        <v>13423</v>
      </c>
    </row>
    <row r="62" spans="1:19" x14ac:dyDescent="0.3">
      <c r="A62" s="82" t="s">
        <v>490</v>
      </c>
      <c r="B62" s="82" t="s">
        <v>195</v>
      </c>
      <c r="C62" s="82" t="s">
        <v>387</v>
      </c>
      <c r="D62" s="83">
        <v>24204</v>
      </c>
      <c r="E62">
        <f t="shared" ca="1" si="0"/>
        <v>56</v>
      </c>
      <c r="F62" s="83">
        <v>35526</v>
      </c>
      <c r="G62">
        <f t="shared" ca="1" si="1"/>
        <v>25</v>
      </c>
      <c r="H62">
        <v>0</v>
      </c>
      <c r="I62" t="str">
        <f t="shared" ca="1" si="2"/>
        <v>splňuje</v>
      </c>
      <c r="J62" t="str">
        <f t="shared" ca="1" si="3"/>
        <v>víc než 20</v>
      </c>
      <c r="K62" t="s">
        <v>390</v>
      </c>
      <c r="L62">
        <f t="shared" si="4"/>
        <v>1</v>
      </c>
      <c r="M62" t="s">
        <v>390</v>
      </c>
      <c r="N62">
        <f t="shared" si="5"/>
        <v>1</v>
      </c>
      <c r="O62" t="str">
        <f t="shared" si="6"/>
        <v>splňuje</v>
      </c>
      <c r="P62" t="s">
        <v>488</v>
      </c>
      <c r="Q62" t="s">
        <v>383</v>
      </c>
      <c r="R62" t="s">
        <v>491</v>
      </c>
      <c r="S62">
        <v>10526</v>
      </c>
    </row>
    <row r="63" spans="1:19" x14ac:dyDescent="0.3">
      <c r="A63" s="82" t="s">
        <v>492</v>
      </c>
      <c r="B63" s="82" t="s">
        <v>493</v>
      </c>
      <c r="C63" s="82" t="s">
        <v>380</v>
      </c>
      <c r="D63" s="83">
        <v>23707</v>
      </c>
      <c r="E63">
        <f t="shared" ca="1" si="0"/>
        <v>58</v>
      </c>
      <c r="F63" s="83">
        <v>31462</v>
      </c>
      <c r="G63">
        <f t="shared" ca="1" si="1"/>
        <v>36</v>
      </c>
      <c r="H63">
        <v>6</v>
      </c>
      <c r="I63" t="str">
        <f t="shared" ca="1" si="2"/>
        <v>splňuje</v>
      </c>
      <c r="J63" t="str">
        <f t="shared" ca="1" si="3"/>
        <v>víc než 20</v>
      </c>
      <c r="K63" t="s">
        <v>399</v>
      </c>
      <c r="L63">
        <f t="shared" si="4"/>
        <v>3</v>
      </c>
      <c r="M63" t="s">
        <v>399</v>
      </c>
      <c r="N63">
        <f t="shared" si="5"/>
        <v>3</v>
      </c>
      <c r="O63" t="str">
        <f t="shared" si="6"/>
        <v>splňuje</v>
      </c>
      <c r="P63" t="s">
        <v>488</v>
      </c>
      <c r="Q63" t="s">
        <v>405</v>
      </c>
      <c r="R63" t="s">
        <v>494</v>
      </c>
      <c r="S63">
        <v>8395</v>
      </c>
    </row>
    <row r="64" spans="1:19" x14ac:dyDescent="0.3">
      <c r="A64" s="82" t="s">
        <v>495</v>
      </c>
      <c r="B64" s="82" t="s">
        <v>269</v>
      </c>
      <c r="C64" s="82" t="s">
        <v>387</v>
      </c>
      <c r="D64" s="83">
        <v>23917</v>
      </c>
      <c r="E64">
        <f t="shared" ca="1" si="0"/>
        <v>57</v>
      </c>
      <c r="F64" s="83">
        <v>31559</v>
      </c>
      <c r="G64">
        <f t="shared" ca="1" si="1"/>
        <v>36</v>
      </c>
      <c r="H64">
        <v>15</v>
      </c>
      <c r="I64" t="str">
        <f t="shared" ca="1" si="2"/>
        <v>splňuje</v>
      </c>
      <c r="J64" t="str">
        <f t="shared" ca="1" si="3"/>
        <v>víc než 20</v>
      </c>
      <c r="K64" t="s">
        <v>399</v>
      </c>
      <c r="L64">
        <f t="shared" si="4"/>
        <v>3</v>
      </c>
      <c r="M64" t="s">
        <v>465</v>
      </c>
      <c r="N64">
        <f t="shared" si="5"/>
        <v>4</v>
      </c>
      <c r="O64" t="str">
        <f t="shared" si="6"/>
        <v>překračuje</v>
      </c>
      <c r="P64" t="s">
        <v>488</v>
      </c>
      <c r="Q64" t="s">
        <v>405</v>
      </c>
      <c r="R64" t="s">
        <v>496</v>
      </c>
      <c r="S64">
        <v>13179</v>
      </c>
    </row>
    <row r="65" spans="1:19" x14ac:dyDescent="0.3">
      <c r="A65" s="82" t="s">
        <v>497</v>
      </c>
      <c r="B65" s="82" t="s">
        <v>429</v>
      </c>
      <c r="C65" s="82" t="s">
        <v>387</v>
      </c>
      <c r="D65" s="83">
        <v>23102</v>
      </c>
      <c r="E65">
        <f t="shared" ca="1" si="0"/>
        <v>59</v>
      </c>
      <c r="F65" s="83">
        <v>30623</v>
      </c>
      <c r="G65">
        <f t="shared" ca="1" si="1"/>
        <v>39</v>
      </c>
      <c r="H65">
        <v>15</v>
      </c>
      <c r="I65" t="str">
        <f t="shared" ca="1" si="2"/>
        <v>splňuje</v>
      </c>
      <c r="J65" t="str">
        <f t="shared" ca="1" si="3"/>
        <v>víc než 20</v>
      </c>
      <c r="K65" t="s">
        <v>465</v>
      </c>
      <c r="L65">
        <f t="shared" si="4"/>
        <v>4</v>
      </c>
      <c r="M65" t="s">
        <v>465</v>
      </c>
      <c r="N65">
        <f t="shared" si="5"/>
        <v>4</v>
      </c>
      <c r="O65" t="str">
        <f t="shared" si="6"/>
        <v>splňuje</v>
      </c>
      <c r="P65" t="s">
        <v>488</v>
      </c>
      <c r="Q65" t="s">
        <v>405</v>
      </c>
      <c r="R65" t="s">
        <v>498</v>
      </c>
      <c r="S65">
        <v>12375</v>
      </c>
    </row>
    <row r="66" spans="1:19" x14ac:dyDescent="0.3">
      <c r="A66" s="82" t="s">
        <v>499</v>
      </c>
      <c r="B66" s="82" t="s">
        <v>274</v>
      </c>
      <c r="C66" s="82" t="s">
        <v>380</v>
      </c>
      <c r="D66" s="83">
        <v>22593</v>
      </c>
      <c r="E66">
        <f t="shared" ca="1" si="0"/>
        <v>61</v>
      </c>
      <c r="F66" s="83">
        <v>32106</v>
      </c>
      <c r="G66">
        <f t="shared" ca="1" si="1"/>
        <v>35</v>
      </c>
      <c r="H66">
        <v>5</v>
      </c>
      <c r="I66" t="str">
        <f t="shared" ca="1" si="2"/>
        <v>splňuje</v>
      </c>
      <c r="J66" t="str">
        <f t="shared" ca="1" si="3"/>
        <v>víc než 20</v>
      </c>
      <c r="K66" t="s">
        <v>399</v>
      </c>
      <c r="L66">
        <f t="shared" si="4"/>
        <v>3</v>
      </c>
      <c r="M66" t="s">
        <v>399</v>
      </c>
      <c r="N66">
        <f t="shared" si="5"/>
        <v>3</v>
      </c>
      <c r="O66" t="str">
        <f t="shared" si="6"/>
        <v>splňuje</v>
      </c>
      <c r="P66" t="s">
        <v>488</v>
      </c>
      <c r="Q66" t="s">
        <v>405</v>
      </c>
      <c r="R66" t="s">
        <v>500</v>
      </c>
      <c r="S66">
        <v>10081</v>
      </c>
    </row>
    <row r="67" spans="1:19" x14ac:dyDescent="0.3">
      <c r="A67" s="82" t="s">
        <v>501</v>
      </c>
      <c r="B67" s="82" t="s">
        <v>201</v>
      </c>
      <c r="C67" s="82" t="s">
        <v>387</v>
      </c>
      <c r="D67" s="83">
        <v>22219</v>
      </c>
      <c r="E67">
        <f t="shared" ca="1" si="0"/>
        <v>62</v>
      </c>
      <c r="F67" s="83">
        <v>34942</v>
      </c>
      <c r="G67">
        <f t="shared" ca="1" si="1"/>
        <v>27</v>
      </c>
      <c r="H67">
        <v>5</v>
      </c>
      <c r="I67" t="str">
        <f t="shared" ca="1" si="2"/>
        <v>splňuje</v>
      </c>
      <c r="J67" t="str">
        <f t="shared" ca="1" si="3"/>
        <v>víc než 20</v>
      </c>
      <c r="K67" t="s">
        <v>399</v>
      </c>
      <c r="L67">
        <f t="shared" si="4"/>
        <v>3</v>
      </c>
      <c r="M67" t="s">
        <v>399</v>
      </c>
      <c r="N67">
        <f t="shared" si="5"/>
        <v>3</v>
      </c>
      <c r="O67" t="str">
        <f t="shared" si="6"/>
        <v>splňuje</v>
      </c>
      <c r="P67" t="s">
        <v>488</v>
      </c>
      <c r="Q67" t="s">
        <v>405</v>
      </c>
      <c r="R67" t="s">
        <v>500</v>
      </c>
      <c r="S67">
        <v>10705</v>
      </c>
    </row>
    <row r="68" spans="1:19" x14ac:dyDescent="0.3">
      <c r="A68" s="82" t="s">
        <v>502</v>
      </c>
      <c r="B68" s="82" t="s">
        <v>266</v>
      </c>
      <c r="C68" s="82" t="s">
        <v>387</v>
      </c>
      <c r="D68" s="83">
        <v>21699</v>
      </c>
      <c r="E68">
        <f t="shared" ca="1" si="0"/>
        <v>63</v>
      </c>
      <c r="F68" s="83">
        <v>32168</v>
      </c>
      <c r="G68">
        <f t="shared" ca="1" si="1"/>
        <v>35</v>
      </c>
      <c r="H68">
        <v>0</v>
      </c>
      <c r="I68" t="str">
        <f t="shared" ca="1" si="2"/>
        <v>splňuje</v>
      </c>
      <c r="J68" t="str">
        <f t="shared" ca="1" si="3"/>
        <v>víc než 20</v>
      </c>
      <c r="K68" t="s">
        <v>390</v>
      </c>
      <c r="L68">
        <f t="shared" si="4"/>
        <v>1</v>
      </c>
      <c r="M68" t="s">
        <v>390</v>
      </c>
      <c r="N68">
        <f t="shared" si="5"/>
        <v>1</v>
      </c>
      <c r="O68" t="str">
        <f t="shared" si="6"/>
        <v>splňuje</v>
      </c>
      <c r="P68" t="s">
        <v>488</v>
      </c>
      <c r="Q68" t="s">
        <v>383</v>
      </c>
      <c r="R68" t="s">
        <v>503</v>
      </c>
      <c r="S68">
        <v>14302</v>
      </c>
    </row>
    <row r="69" spans="1:19" x14ac:dyDescent="0.3">
      <c r="A69" s="82" t="s">
        <v>504</v>
      </c>
      <c r="B69" s="82" t="s">
        <v>273</v>
      </c>
      <c r="C69" s="82" t="s">
        <v>380</v>
      </c>
      <c r="D69" s="83">
        <v>21362</v>
      </c>
      <c r="E69">
        <f t="shared" ca="1" si="0"/>
        <v>64</v>
      </c>
      <c r="F69" s="83">
        <v>29124</v>
      </c>
      <c r="G69">
        <f t="shared" ca="1" si="1"/>
        <v>43</v>
      </c>
      <c r="H69">
        <v>6</v>
      </c>
      <c r="I69" t="str">
        <f t="shared" ca="1" si="2"/>
        <v>splňuje</v>
      </c>
      <c r="J69" t="str">
        <f t="shared" ca="1" si="3"/>
        <v>víc než 20</v>
      </c>
      <c r="K69" t="s">
        <v>399</v>
      </c>
      <c r="L69">
        <f t="shared" si="4"/>
        <v>3</v>
      </c>
      <c r="M69" t="s">
        <v>399</v>
      </c>
      <c r="N69">
        <f t="shared" si="5"/>
        <v>3</v>
      </c>
      <c r="O69" t="str">
        <f t="shared" si="6"/>
        <v>splňuje</v>
      </c>
      <c r="P69" t="s">
        <v>488</v>
      </c>
      <c r="Q69" t="s">
        <v>405</v>
      </c>
      <c r="R69" t="s">
        <v>505</v>
      </c>
      <c r="S69">
        <v>12248</v>
      </c>
    </row>
    <row r="70" spans="1:19" x14ac:dyDescent="0.3">
      <c r="A70" s="82" t="s">
        <v>463</v>
      </c>
      <c r="B70" s="82" t="s">
        <v>195</v>
      </c>
      <c r="C70" s="82" t="s">
        <v>387</v>
      </c>
      <c r="D70" s="83">
        <v>20354</v>
      </c>
      <c r="E70">
        <f t="shared" ca="1" si="0"/>
        <v>67</v>
      </c>
      <c r="F70" s="83">
        <v>32878</v>
      </c>
      <c r="G70">
        <f t="shared" ca="1" si="1"/>
        <v>33</v>
      </c>
      <c r="H70">
        <v>15</v>
      </c>
      <c r="I70" t="str">
        <f t="shared" ca="1" si="2"/>
        <v>splňuje</v>
      </c>
      <c r="J70" t="str">
        <f t="shared" ca="1" si="3"/>
        <v>víc než 20</v>
      </c>
      <c r="K70" t="s">
        <v>399</v>
      </c>
      <c r="L70">
        <f t="shared" si="4"/>
        <v>3</v>
      </c>
      <c r="M70" t="s">
        <v>465</v>
      </c>
      <c r="N70">
        <f t="shared" si="5"/>
        <v>4</v>
      </c>
      <c r="O70" t="str">
        <f t="shared" si="6"/>
        <v>překračuje</v>
      </c>
      <c r="P70" t="s">
        <v>488</v>
      </c>
      <c r="Q70" t="s">
        <v>405</v>
      </c>
      <c r="R70" t="s">
        <v>506</v>
      </c>
      <c r="S70">
        <v>8276</v>
      </c>
    </row>
    <row r="71" spans="1:19" x14ac:dyDescent="0.3">
      <c r="A71" s="82" t="s">
        <v>507</v>
      </c>
      <c r="B71" s="82" t="s">
        <v>448</v>
      </c>
      <c r="C71" s="82" t="s">
        <v>387</v>
      </c>
      <c r="D71" s="83">
        <v>17718</v>
      </c>
      <c r="E71">
        <f t="shared" ca="1" si="0"/>
        <v>74</v>
      </c>
      <c r="F71" s="83">
        <v>30292</v>
      </c>
      <c r="G71">
        <f t="shared" ca="1" si="1"/>
        <v>40</v>
      </c>
      <c r="H71">
        <v>15</v>
      </c>
      <c r="I71" t="str">
        <f t="shared" ca="1" si="2"/>
        <v>splňuje</v>
      </c>
      <c r="J71" t="str">
        <f t="shared" ca="1" si="3"/>
        <v>víc než 20</v>
      </c>
      <c r="K71" t="s">
        <v>399</v>
      </c>
      <c r="L71">
        <f t="shared" si="4"/>
        <v>3</v>
      </c>
      <c r="M71" t="s">
        <v>465</v>
      </c>
      <c r="N71">
        <f t="shared" si="5"/>
        <v>4</v>
      </c>
      <c r="O71" t="str">
        <f t="shared" si="6"/>
        <v>překračuje</v>
      </c>
      <c r="P71" t="s">
        <v>488</v>
      </c>
      <c r="Q71" t="s">
        <v>405</v>
      </c>
      <c r="R71" t="s">
        <v>506</v>
      </c>
      <c r="S71">
        <v>11099</v>
      </c>
    </row>
    <row r="72" spans="1:19" x14ac:dyDescent="0.3">
      <c r="A72" s="82" t="s">
        <v>508</v>
      </c>
      <c r="B72" s="82" t="s">
        <v>268</v>
      </c>
      <c r="C72" s="82" t="s">
        <v>380</v>
      </c>
      <c r="D72" s="83">
        <v>17126</v>
      </c>
      <c r="E72">
        <f t="shared" ref="E72:E103" ca="1" si="7">INT((TODAY()-D72)/365)</f>
        <v>76</v>
      </c>
      <c r="F72" s="83">
        <v>26219</v>
      </c>
      <c r="G72">
        <f t="shared" ref="G72:G103" ca="1" si="8">INT((TODAY()-F72)/365)</f>
        <v>51</v>
      </c>
      <c r="H72">
        <v>2</v>
      </c>
      <c r="I72" t="str">
        <f t="shared" ref="I72:I103" ca="1" si="9">IF(H72&lt;=G72,"splňuje","nesplňuje")</f>
        <v>splňuje</v>
      </c>
      <c r="J72" t="str">
        <f t="shared" ref="J72:J106" ca="1" si="10">IF(G72&lt;=5,"méně než 5",IF(G72&lt;=10,"5-10",IF(G72&lt;=20,"10-20","víc než 20")))</f>
        <v>víc než 20</v>
      </c>
      <c r="K72" t="s">
        <v>381</v>
      </c>
      <c r="L72">
        <f t="shared" ref="L72:L103" si="11">IF(K72="Z",1,IF(K72="VYUČ",2,IF(K72="SŠ",3,4)))</f>
        <v>2</v>
      </c>
      <c r="M72" t="s">
        <v>381</v>
      </c>
      <c r="N72">
        <f t="shared" ref="N72:N103" si="12">IF(M72="Z",1,IF(M72="VYUČ",2,IF(M72="SŠ",3,4)))</f>
        <v>2</v>
      </c>
      <c r="O72" t="str">
        <f t="shared" ref="O72:O103" si="13">IF(N72=L72,"splňuje",IF(N72&lt;L72,"nesplňuje","překračuje"))</f>
        <v>splňuje</v>
      </c>
      <c r="P72" t="s">
        <v>488</v>
      </c>
      <c r="Q72" t="s">
        <v>383</v>
      </c>
      <c r="R72" t="s">
        <v>400</v>
      </c>
      <c r="S72">
        <v>9770</v>
      </c>
    </row>
    <row r="73" spans="1:19" x14ac:dyDescent="0.3">
      <c r="A73" s="82" t="s">
        <v>509</v>
      </c>
      <c r="B73" s="82" t="s">
        <v>510</v>
      </c>
      <c r="C73" s="82" t="s">
        <v>380</v>
      </c>
      <c r="D73" s="83">
        <v>15751</v>
      </c>
      <c r="E73">
        <f t="shared" ca="1" si="7"/>
        <v>80</v>
      </c>
      <c r="F73" s="83">
        <v>29143</v>
      </c>
      <c r="G73">
        <f t="shared" ca="1" si="8"/>
        <v>43</v>
      </c>
      <c r="H73">
        <v>5</v>
      </c>
      <c r="I73" t="str">
        <f t="shared" ca="1" si="9"/>
        <v>splňuje</v>
      </c>
      <c r="J73" t="str">
        <f t="shared" ca="1" si="10"/>
        <v>víc než 20</v>
      </c>
      <c r="K73" t="s">
        <v>399</v>
      </c>
      <c r="L73">
        <f t="shared" si="11"/>
        <v>3</v>
      </c>
      <c r="M73" t="s">
        <v>399</v>
      </c>
      <c r="N73">
        <f t="shared" si="12"/>
        <v>3</v>
      </c>
      <c r="O73" t="str">
        <f t="shared" si="13"/>
        <v>splňuje</v>
      </c>
      <c r="P73" t="s">
        <v>488</v>
      </c>
      <c r="Q73" t="s">
        <v>405</v>
      </c>
      <c r="R73" t="s">
        <v>500</v>
      </c>
      <c r="S73">
        <v>10639</v>
      </c>
    </row>
    <row r="74" spans="1:19" x14ac:dyDescent="0.3">
      <c r="A74" s="82" t="s">
        <v>252</v>
      </c>
      <c r="B74" s="82" t="s">
        <v>195</v>
      </c>
      <c r="C74" s="82" t="s">
        <v>387</v>
      </c>
      <c r="D74" s="83">
        <v>15350</v>
      </c>
      <c r="E74">
        <f t="shared" ca="1" si="7"/>
        <v>81</v>
      </c>
      <c r="F74" s="83">
        <v>25760</v>
      </c>
      <c r="G74">
        <f t="shared" ca="1" si="8"/>
        <v>52</v>
      </c>
      <c r="H74">
        <v>20</v>
      </c>
      <c r="I74" t="str">
        <f t="shared" ca="1" si="9"/>
        <v>splňuje</v>
      </c>
      <c r="J74" t="str">
        <f t="shared" ca="1" si="10"/>
        <v>víc než 20</v>
      </c>
      <c r="K74" t="s">
        <v>399</v>
      </c>
      <c r="L74">
        <f t="shared" si="11"/>
        <v>3</v>
      </c>
      <c r="M74" t="s">
        <v>465</v>
      </c>
      <c r="N74">
        <f t="shared" si="12"/>
        <v>4</v>
      </c>
      <c r="O74" t="str">
        <f t="shared" si="13"/>
        <v>překračuje</v>
      </c>
      <c r="P74" t="s">
        <v>488</v>
      </c>
      <c r="Q74" t="s">
        <v>405</v>
      </c>
      <c r="R74" t="s">
        <v>511</v>
      </c>
      <c r="S74">
        <v>12156</v>
      </c>
    </row>
    <row r="75" spans="1:19" x14ac:dyDescent="0.3">
      <c r="A75" s="82" t="s">
        <v>512</v>
      </c>
      <c r="B75" s="82" t="s">
        <v>513</v>
      </c>
      <c r="C75" s="82" t="s">
        <v>380</v>
      </c>
      <c r="D75" s="83">
        <v>27901</v>
      </c>
      <c r="E75">
        <f t="shared" ca="1" si="7"/>
        <v>46</v>
      </c>
      <c r="F75" s="83">
        <v>35548</v>
      </c>
      <c r="G75">
        <f t="shared" ca="1" si="8"/>
        <v>25</v>
      </c>
      <c r="H75">
        <v>0</v>
      </c>
      <c r="I75" t="str">
        <f t="shared" ca="1" si="9"/>
        <v>splňuje</v>
      </c>
      <c r="J75" t="str">
        <f t="shared" ca="1" si="10"/>
        <v>víc než 20</v>
      </c>
      <c r="K75" t="s">
        <v>390</v>
      </c>
      <c r="L75">
        <f t="shared" si="11"/>
        <v>1</v>
      </c>
      <c r="M75" t="s">
        <v>390</v>
      </c>
      <c r="N75">
        <f t="shared" si="12"/>
        <v>1</v>
      </c>
      <c r="O75" t="str">
        <f t="shared" si="13"/>
        <v>splňuje</v>
      </c>
      <c r="P75" t="s">
        <v>514</v>
      </c>
      <c r="Q75" t="s">
        <v>383</v>
      </c>
      <c r="R75" t="s">
        <v>491</v>
      </c>
      <c r="S75">
        <v>11973</v>
      </c>
    </row>
    <row r="76" spans="1:19" x14ac:dyDescent="0.3">
      <c r="A76" s="82" t="s">
        <v>515</v>
      </c>
      <c r="B76" s="82" t="s">
        <v>386</v>
      </c>
      <c r="C76" s="82" t="s">
        <v>387</v>
      </c>
      <c r="D76" s="83">
        <v>27014</v>
      </c>
      <c r="E76">
        <f t="shared" ca="1" si="7"/>
        <v>49</v>
      </c>
      <c r="F76" s="83">
        <v>34932</v>
      </c>
      <c r="G76">
        <f t="shared" ca="1" si="8"/>
        <v>27</v>
      </c>
      <c r="H76">
        <v>2</v>
      </c>
      <c r="I76" t="str">
        <f t="shared" ca="1" si="9"/>
        <v>splňuje</v>
      </c>
      <c r="J76" t="str">
        <f t="shared" ca="1" si="10"/>
        <v>víc než 20</v>
      </c>
      <c r="K76" t="s">
        <v>381</v>
      </c>
      <c r="L76">
        <f t="shared" si="11"/>
        <v>2</v>
      </c>
      <c r="M76" t="s">
        <v>381</v>
      </c>
      <c r="N76">
        <f t="shared" si="12"/>
        <v>2</v>
      </c>
      <c r="O76" t="str">
        <f t="shared" si="13"/>
        <v>splňuje</v>
      </c>
      <c r="P76" t="s">
        <v>514</v>
      </c>
      <c r="Q76" t="s">
        <v>383</v>
      </c>
      <c r="R76" t="s">
        <v>516</v>
      </c>
      <c r="S76">
        <v>13409</v>
      </c>
    </row>
    <row r="77" spans="1:19" x14ac:dyDescent="0.3">
      <c r="A77" s="82" t="s">
        <v>517</v>
      </c>
      <c r="B77" s="82" t="s">
        <v>518</v>
      </c>
      <c r="C77" s="82" t="s">
        <v>387</v>
      </c>
      <c r="D77" s="83">
        <v>26258</v>
      </c>
      <c r="E77">
        <f t="shared" ca="1" si="7"/>
        <v>51</v>
      </c>
      <c r="F77" s="83">
        <v>34220</v>
      </c>
      <c r="G77">
        <f t="shared" ca="1" si="8"/>
        <v>29</v>
      </c>
      <c r="H77">
        <v>5</v>
      </c>
      <c r="I77" t="str">
        <f t="shared" ca="1" si="9"/>
        <v>splňuje</v>
      </c>
      <c r="J77" t="str">
        <f t="shared" ca="1" si="10"/>
        <v>víc než 20</v>
      </c>
      <c r="K77" t="s">
        <v>390</v>
      </c>
      <c r="L77">
        <f t="shared" si="11"/>
        <v>1</v>
      </c>
      <c r="M77" t="s">
        <v>390</v>
      </c>
      <c r="N77">
        <f t="shared" si="12"/>
        <v>1</v>
      </c>
      <c r="O77" t="str">
        <f t="shared" si="13"/>
        <v>splňuje</v>
      </c>
      <c r="P77" t="s">
        <v>514</v>
      </c>
      <c r="Q77" t="s">
        <v>383</v>
      </c>
      <c r="R77" t="s">
        <v>483</v>
      </c>
      <c r="S77">
        <v>10481</v>
      </c>
    </row>
    <row r="78" spans="1:19" x14ac:dyDescent="0.3">
      <c r="A78" s="82" t="s">
        <v>519</v>
      </c>
      <c r="B78" s="82" t="s">
        <v>266</v>
      </c>
      <c r="C78" s="82" t="s">
        <v>387</v>
      </c>
      <c r="D78" s="83">
        <v>26316</v>
      </c>
      <c r="E78">
        <f t="shared" ca="1" si="7"/>
        <v>51</v>
      </c>
      <c r="F78" s="83">
        <v>35301</v>
      </c>
      <c r="G78">
        <f t="shared" ca="1" si="8"/>
        <v>26</v>
      </c>
      <c r="H78">
        <v>4</v>
      </c>
      <c r="I78" t="str">
        <f t="shared" ca="1" si="9"/>
        <v>splňuje</v>
      </c>
      <c r="J78" t="str">
        <f t="shared" ca="1" si="10"/>
        <v>víc než 20</v>
      </c>
      <c r="K78" t="s">
        <v>390</v>
      </c>
      <c r="L78">
        <f t="shared" si="11"/>
        <v>1</v>
      </c>
      <c r="M78" t="s">
        <v>381</v>
      </c>
      <c r="N78">
        <f t="shared" si="12"/>
        <v>2</v>
      </c>
      <c r="O78" t="str">
        <f t="shared" si="13"/>
        <v>překračuje</v>
      </c>
      <c r="P78" t="s">
        <v>514</v>
      </c>
      <c r="Q78" t="s">
        <v>383</v>
      </c>
      <c r="R78" t="s">
        <v>520</v>
      </c>
      <c r="S78">
        <v>14458</v>
      </c>
    </row>
    <row r="79" spans="1:19" x14ac:dyDescent="0.3">
      <c r="A79" s="82" t="s">
        <v>521</v>
      </c>
      <c r="B79" s="82" t="s">
        <v>386</v>
      </c>
      <c r="C79" s="82" t="s">
        <v>387</v>
      </c>
      <c r="D79" s="83">
        <v>26092</v>
      </c>
      <c r="E79">
        <f t="shared" ca="1" si="7"/>
        <v>51</v>
      </c>
      <c r="F79" s="83">
        <v>35179</v>
      </c>
      <c r="G79">
        <f t="shared" ca="1" si="8"/>
        <v>26</v>
      </c>
      <c r="H79">
        <v>2</v>
      </c>
      <c r="I79" t="str">
        <f t="shared" ca="1" si="9"/>
        <v>splňuje</v>
      </c>
      <c r="J79" t="str">
        <f t="shared" ca="1" si="10"/>
        <v>víc než 20</v>
      </c>
      <c r="K79" t="s">
        <v>381</v>
      </c>
      <c r="L79">
        <f t="shared" si="11"/>
        <v>2</v>
      </c>
      <c r="M79" t="s">
        <v>381</v>
      </c>
      <c r="N79">
        <f t="shared" si="12"/>
        <v>2</v>
      </c>
      <c r="O79" t="str">
        <f t="shared" si="13"/>
        <v>splňuje</v>
      </c>
      <c r="P79" t="s">
        <v>514</v>
      </c>
      <c r="Q79" t="s">
        <v>383</v>
      </c>
      <c r="R79" t="s">
        <v>516</v>
      </c>
      <c r="S79">
        <v>13485</v>
      </c>
    </row>
    <row r="80" spans="1:19" x14ac:dyDescent="0.3">
      <c r="A80" s="82" t="s">
        <v>522</v>
      </c>
      <c r="B80" s="82" t="s">
        <v>429</v>
      </c>
      <c r="C80" s="82" t="s">
        <v>387</v>
      </c>
      <c r="D80" s="83">
        <v>25526</v>
      </c>
      <c r="E80">
        <f t="shared" ca="1" si="7"/>
        <v>53</v>
      </c>
      <c r="F80" s="83">
        <v>35194</v>
      </c>
      <c r="G80">
        <f t="shared" ca="1" si="8"/>
        <v>26</v>
      </c>
      <c r="H80">
        <v>5</v>
      </c>
      <c r="I80" t="str">
        <f t="shared" ca="1" si="9"/>
        <v>splňuje</v>
      </c>
      <c r="J80" t="str">
        <f t="shared" ca="1" si="10"/>
        <v>víc než 20</v>
      </c>
      <c r="K80" t="s">
        <v>390</v>
      </c>
      <c r="L80">
        <f t="shared" si="11"/>
        <v>1</v>
      </c>
      <c r="M80" t="s">
        <v>390</v>
      </c>
      <c r="N80">
        <f t="shared" si="12"/>
        <v>1</v>
      </c>
      <c r="O80" t="str">
        <f t="shared" si="13"/>
        <v>splňuje</v>
      </c>
      <c r="P80" t="s">
        <v>514</v>
      </c>
      <c r="Q80" t="s">
        <v>383</v>
      </c>
      <c r="R80" t="s">
        <v>523</v>
      </c>
      <c r="S80">
        <v>13973</v>
      </c>
    </row>
    <row r="81" spans="1:19" x14ac:dyDescent="0.3">
      <c r="A81" s="82" t="s">
        <v>524</v>
      </c>
      <c r="B81" s="82" t="s">
        <v>525</v>
      </c>
      <c r="C81" s="82" t="s">
        <v>387</v>
      </c>
      <c r="D81" s="83">
        <v>25534</v>
      </c>
      <c r="E81">
        <f t="shared" ca="1" si="7"/>
        <v>53</v>
      </c>
      <c r="F81" s="83">
        <v>35961</v>
      </c>
      <c r="G81">
        <f t="shared" ca="1" si="8"/>
        <v>24</v>
      </c>
      <c r="H81">
        <v>2</v>
      </c>
      <c r="I81" t="str">
        <f t="shared" ca="1" si="9"/>
        <v>splňuje</v>
      </c>
      <c r="J81" t="str">
        <f t="shared" ca="1" si="10"/>
        <v>víc než 20</v>
      </c>
      <c r="K81" t="s">
        <v>381</v>
      </c>
      <c r="L81">
        <f t="shared" si="11"/>
        <v>2</v>
      </c>
      <c r="M81" t="s">
        <v>381</v>
      </c>
      <c r="N81">
        <f t="shared" si="12"/>
        <v>2</v>
      </c>
      <c r="O81" t="str">
        <f t="shared" si="13"/>
        <v>splňuje</v>
      </c>
      <c r="P81" t="s">
        <v>514</v>
      </c>
      <c r="Q81" t="s">
        <v>383</v>
      </c>
      <c r="R81" t="s">
        <v>516</v>
      </c>
      <c r="S81">
        <v>10260</v>
      </c>
    </row>
    <row r="82" spans="1:19" x14ac:dyDescent="0.3">
      <c r="A82" s="82" t="s">
        <v>526</v>
      </c>
      <c r="B82" s="82" t="s">
        <v>268</v>
      </c>
      <c r="C82" s="82" t="s">
        <v>380</v>
      </c>
      <c r="D82" s="83">
        <v>25329</v>
      </c>
      <c r="E82">
        <f t="shared" ca="1" si="7"/>
        <v>53</v>
      </c>
      <c r="F82" s="83">
        <v>34461</v>
      </c>
      <c r="G82">
        <f t="shared" ca="1" si="8"/>
        <v>28</v>
      </c>
      <c r="H82">
        <v>4</v>
      </c>
      <c r="I82" t="str">
        <f t="shared" ca="1" si="9"/>
        <v>splňuje</v>
      </c>
      <c r="J82" t="str">
        <f t="shared" ca="1" si="10"/>
        <v>víc než 20</v>
      </c>
      <c r="K82" t="s">
        <v>381</v>
      </c>
      <c r="L82">
        <f t="shared" si="11"/>
        <v>2</v>
      </c>
      <c r="M82" t="s">
        <v>381</v>
      </c>
      <c r="N82">
        <f t="shared" si="12"/>
        <v>2</v>
      </c>
      <c r="O82" t="str">
        <f t="shared" si="13"/>
        <v>splňuje</v>
      </c>
      <c r="P82" t="s">
        <v>514</v>
      </c>
      <c r="Q82" t="s">
        <v>383</v>
      </c>
      <c r="R82" t="s">
        <v>520</v>
      </c>
      <c r="S82">
        <v>11474</v>
      </c>
    </row>
    <row r="83" spans="1:19" x14ac:dyDescent="0.3">
      <c r="A83" s="82" t="s">
        <v>527</v>
      </c>
      <c r="B83" s="82" t="s">
        <v>195</v>
      </c>
      <c r="C83" s="82" t="s">
        <v>387</v>
      </c>
      <c r="D83" s="83">
        <v>24340</v>
      </c>
      <c r="E83">
        <f t="shared" ca="1" si="7"/>
        <v>56</v>
      </c>
      <c r="F83" s="83">
        <v>31909</v>
      </c>
      <c r="G83">
        <f t="shared" ca="1" si="8"/>
        <v>35</v>
      </c>
      <c r="H83">
        <v>0</v>
      </c>
      <c r="I83" t="str">
        <f t="shared" ca="1" si="9"/>
        <v>splňuje</v>
      </c>
      <c r="J83" t="str">
        <f t="shared" ca="1" si="10"/>
        <v>víc než 20</v>
      </c>
      <c r="K83" t="s">
        <v>390</v>
      </c>
      <c r="L83">
        <f t="shared" si="11"/>
        <v>1</v>
      </c>
      <c r="M83" t="s">
        <v>390</v>
      </c>
      <c r="N83">
        <f t="shared" si="12"/>
        <v>1</v>
      </c>
      <c r="O83" t="str">
        <f t="shared" si="13"/>
        <v>splňuje</v>
      </c>
      <c r="P83" t="s">
        <v>514</v>
      </c>
      <c r="Q83" t="s">
        <v>383</v>
      </c>
      <c r="R83" t="s">
        <v>528</v>
      </c>
      <c r="S83">
        <v>14180</v>
      </c>
    </row>
    <row r="84" spans="1:19" x14ac:dyDescent="0.3">
      <c r="A84" s="82" t="s">
        <v>529</v>
      </c>
      <c r="B84" s="82" t="s">
        <v>530</v>
      </c>
      <c r="C84" s="82" t="s">
        <v>387</v>
      </c>
      <c r="D84" s="83">
        <v>24327</v>
      </c>
      <c r="E84">
        <f t="shared" ca="1" si="7"/>
        <v>56</v>
      </c>
      <c r="F84" s="83">
        <v>35094</v>
      </c>
      <c r="G84">
        <f t="shared" ca="1" si="8"/>
        <v>27</v>
      </c>
      <c r="H84">
        <v>2</v>
      </c>
      <c r="I84" t="str">
        <f t="shared" ca="1" si="9"/>
        <v>splňuje</v>
      </c>
      <c r="J84" t="str">
        <f t="shared" ca="1" si="10"/>
        <v>víc než 20</v>
      </c>
      <c r="K84" t="s">
        <v>381</v>
      </c>
      <c r="L84">
        <f t="shared" si="11"/>
        <v>2</v>
      </c>
      <c r="M84" t="s">
        <v>381</v>
      </c>
      <c r="N84">
        <f t="shared" si="12"/>
        <v>2</v>
      </c>
      <c r="O84" t="str">
        <f t="shared" si="13"/>
        <v>splňuje</v>
      </c>
      <c r="P84" t="s">
        <v>514</v>
      </c>
      <c r="Q84" t="s">
        <v>383</v>
      </c>
      <c r="R84" t="s">
        <v>531</v>
      </c>
      <c r="S84">
        <v>10336</v>
      </c>
    </row>
    <row r="85" spans="1:19" x14ac:dyDescent="0.3">
      <c r="A85" s="82" t="s">
        <v>532</v>
      </c>
      <c r="B85" s="82" t="s">
        <v>533</v>
      </c>
      <c r="C85" s="82" t="s">
        <v>387</v>
      </c>
      <c r="D85" s="83">
        <v>23599</v>
      </c>
      <c r="E85">
        <f t="shared" ca="1" si="7"/>
        <v>58</v>
      </c>
      <c r="F85" s="83">
        <v>32412</v>
      </c>
      <c r="G85">
        <f t="shared" ca="1" si="8"/>
        <v>34</v>
      </c>
      <c r="H85">
        <v>5</v>
      </c>
      <c r="I85" t="str">
        <f t="shared" ca="1" si="9"/>
        <v>splňuje</v>
      </c>
      <c r="J85" t="str">
        <f t="shared" ca="1" si="10"/>
        <v>víc než 20</v>
      </c>
      <c r="K85" t="s">
        <v>381</v>
      </c>
      <c r="L85">
        <f t="shared" si="11"/>
        <v>2</v>
      </c>
      <c r="M85" t="s">
        <v>390</v>
      </c>
      <c r="N85">
        <f t="shared" si="12"/>
        <v>1</v>
      </c>
      <c r="O85" t="str">
        <f t="shared" si="13"/>
        <v>nesplňuje</v>
      </c>
      <c r="P85" t="s">
        <v>514</v>
      </c>
      <c r="Q85" t="s">
        <v>383</v>
      </c>
      <c r="R85" t="s">
        <v>523</v>
      </c>
      <c r="S85">
        <v>14303</v>
      </c>
    </row>
    <row r="86" spans="1:19" x14ac:dyDescent="0.3">
      <c r="A86" s="82" t="s">
        <v>534</v>
      </c>
      <c r="B86" s="82" t="s">
        <v>535</v>
      </c>
      <c r="C86" s="82" t="s">
        <v>380</v>
      </c>
      <c r="D86" s="83">
        <v>23234</v>
      </c>
      <c r="E86">
        <f t="shared" ca="1" si="7"/>
        <v>59</v>
      </c>
      <c r="F86" s="83">
        <v>33900</v>
      </c>
      <c r="G86">
        <f t="shared" ca="1" si="8"/>
        <v>30</v>
      </c>
      <c r="H86">
        <v>0</v>
      </c>
      <c r="I86" t="str">
        <f t="shared" ca="1" si="9"/>
        <v>splňuje</v>
      </c>
      <c r="J86" t="str">
        <f t="shared" ca="1" si="10"/>
        <v>víc než 20</v>
      </c>
      <c r="K86" t="s">
        <v>390</v>
      </c>
      <c r="L86">
        <f t="shared" si="11"/>
        <v>1</v>
      </c>
      <c r="M86" t="s">
        <v>390</v>
      </c>
      <c r="N86">
        <f t="shared" si="12"/>
        <v>1</v>
      </c>
      <c r="O86" t="str">
        <f t="shared" si="13"/>
        <v>splňuje</v>
      </c>
      <c r="P86" t="s">
        <v>514</v>
      </c>
      <c r="Q86" t="s">
        <v>383</v>
      </c>
      <c r="R86" t="s">
        <v>491</v>
      </c>
      <c r="S86">
        <v>13286</v>
      </c>
    </row>
    <row r="87" spans="1:19" x14ac:dyDescent="0.3">
      <c r="A87" s="82" t="s">
        <v>536</v>
      </c>
      <c r="B87" s="82" t="s">
        <v>485</v>
      </c>
      <c r="C87" s="82" t="s">
        <v>387</v>
      </c>
      <c r="D87" s="83">
        <v>22943</v>
      </c>
      <c r="E87">
        <f t="shared" ca="1" si="7"/>
        <v>60</v>
      </c>
      <c r="F87" s="83">
        <v>33139</v>
      </c>
      <c r="G87">
        <f t="shared" ca="1" si="8"/>
        <v>32</v>
      </c>
      <c r="H87">
        <v>2</v>
      </c>
      <c r="I87" t="str">
        <f t="shared" ca="1" si="9"/>
        <v>splňuje</v>
      </c>
      <c r="J87" t="str">
        <f t="shared" ca="1" si="10"/>
        <v>víc než 20</v>
      </c>
      <c r="K87" t="s">
        <v>381</v>
      </c>
      <c r="L87">
        <f t="shared" si="11"/>
        <v>2</v>
      </c>
      <c r="M87" t="s">
        <v>381</v>
      </c>
      <c r="N87">
        <f t="shared" si="12"/>
        <v>2</v>
      </c>
      <c r="O87" t="str">
        <f t="shared" si="13"/>
        <v>splňuje</v>
      </c>
      <c r="P87" t="s">
        <v>514</v>
      </c>
      <c r="Q87" t="s">
        <v>383</v>
      </c>
      <c r="R87" t="s">
        <v>531</v>
      </c>
      <c r="S87">
        <v>8811</v>
      </c>
    </row>
    <row r="88" spans="1:19" x14ac:dyDescent="0.3">
      <c r="A88" s="82" t="s">
        <v>537</v>
      </c>
      <c r="B88" s="82" t="s">
        <v>538</v>
      </c>
      <c r="C88" s="82" t="s">
        <v>380</v>
      </c>
      <c r="D88" s="83">
        <v>22866</v>
      </c>
      <c r="E88">
        <f t="shared" ca="1" si="7"/>
        <v>60</v>
      </c>
      <c r="F88" s="83">
        <v>33792</v>
      </c>
      <c r="G88">
        <f t="shared" ca="1" si="8"/>
        <v>30</v>
      </c>
      <c r="H88">
        <v>0</v>
      </c>
      <c r="I88" t="str">
        <f t="shared" ca="1" si="9"/>
        <v>splňuje</v>
      </c>
      <c r="J88" t="str">
        <f t="shared" ca="1" si="10"/>
        <v>víc než 20</v>
      </c>
      <c r="K88" t="s">
        <v>390</v>
      </c>
      <c r="L88">
        <f t="shared" si="11"/>
        <v>1</v>
      </c>
      <c r="M88" t="s">
        <v>390</v>
      </c>
      <c r="N88">
        <f t="shared" si="12"/>
        <v>1</v>
      </c>
      <c r="O88" t="str">
        <f t="shared" si="13"/>
        <v>splňuje</v>
      </c>
      <c r="P88" t="s">
        <v>514</v>
      </c>
      <c r="Q88" t="s">
        <v>383</v>
      </c>
      <c r="R88" t="s">
        <v>539</v>
      </c>
      <c r="S88">
        <v>9404</v>
      </c>
    </row>
    <row r="89" spans="1:19" x14ac:dyDescent="0.3">
      <c r="A89" s="82" t="s">
        <v>540</v>
      </c>
      <c r="B89" s="82" t="s">
        <v>482</v>
      </c>
      <c r="C89" s="82" t="s">
        <v>387</v>
      </c>
      <c r="D89" s="83">
        <v>22329</v>
      </c>
      <c r="E89">
        <f t="shared" ca="1" si="7"/>
        <v>62</v>
      </c>
      <c r="F89" s="83">
        <v>31152</v>
      </c>
      <c r="G89">
        <f t="shared" ca="1" si="8"/>
        <v>37</v>
      </c>
      <c r="H89">
        <v>2</v>
      </c>
      <c r="I89" t="str">
        <f t="shared" ca="1" si="9"/>
        <v>splňuje</v>
      </c>
      <c r="J89" t="str">
        <f t="shared" ca="1" si="10"/>
        <v>víc než 20</v>
      </c>
      <c r="K89" t="s">
        <v>381</v>
      </c>
      <c r="L89">
        <f t="shared" si="11"/>
        <v>2</v>
      </c>
      <c r="M89" t="s">
        <v>381</v>
      </c>
      <c r="N89">
        <f t="shared" si="12"/>
        <v>2</v>
      </c>
      <c r="O89" t="str">
        <f t="shared" si="13"/>
        <v>splňuje</v>
      </c>
      <c r="P89" t="s">
        <v>514</v>
      </c>
      <c r="Q89" t="s">
        <v>383</v>
      </c>
      <c r="R89" t="s">
        <v>516</v>
      </c>
      <c r="S89">
        <v>12875</v>
      </c>
    </row>
    <row r="90" spans="1:19" x14ac:dyDescent="0.3">
      <c r="A90" s="82" t="s">
        <v>541</v>
      </c>
      <c r="B90" s="82" t="s">
        <v>425</v>
      </c>
      <c r="C90" s="82" t="s">
        <v>387</v>
      </c>
      <c r="D90" s="83">
        <v>22379</v>
      </c>
      <c r="E90">
        <f t="shared" ca="1" si="7"/>
        <v>61</v>
      </c>
      <c r="F90" s="83">
        <v>31615</v>
      </c>
      <c r="G90">
        <f t="shared" ca="1" si="8"/>
        <v>36</v>
      </c>
      <c r="H90">
        <v>2</v>
      </c>
      <c r="I90" t="str">
        <f t="shared" ca="1" si="9"/>
        <v>splňuje</v>
      </c>
      <c r="J90" t="str">
        <f t="shared" ca="1" si="10"/>
        <v>víc než 20</v>
      </c>
      <c r="K90" t="s">
        <v>381</v>
      </c>
      <c r="L90">
        <f t="shared" si="11"/>
        <v>2</v>
      </c>
      <c r="M90" t="s">
        <v>381</v>
      </c>
      <c r="N90">
        <f t="shared" si="12"/>
        <v>2</v>
      </c>
      <c r="O90" t="str">
        <f t="shared" si="13"/>
        <v>splňuje</v>
      </c>
      <c r="P90" t="s">
        <v>514</v>
      </c>
      <c r="Q90" t="s">
        <v>383</v>
      </c>
      <c r="R90" t="s">
        <v>516</v>
      </c>
      <c r="S90">
        <v>11301</v>
      </c>
    </row>
    <row r="91" spans="1:19" x14ac:dyDescent="0.3">
      <c r="A91" s="82" t="s">
        <v>542</v>
      </c>
      <c r="B91" s="82" t="s">
        <v>543</v>
      </c>
      <c r="C91" s="82" t="s">
        <v>387</v>
      </c>
      <c r="D91" s="83">
        <v>22190</v>
      </c>
      <c r="E91">
        <f t="shared" ca="1" si="7"/>
        <v>62</v>
      </c>
      <c r="F91" s="83">
        <v>32033</v>
      </c>
      <c r="G91">
        <f t="shared" ca="1" si="8"/>
        <v>35</v>
      </c>
      <c r="H91">
        <v>15</v>
      </c>
      <c r="I91" t="str">
        <f t="shared" ca="1" si="9"/>
        <v>splňuje</v>
      </c>
      <c r="J91" t="str">
        <f t="shared" ca="1" si="10"/>
        <v>víc než 20</v>
      </c>
      <c r="K91" t="s">
        <v>465</v>
      </c>
      <c r="L91">
        <f t="shared" si="11"/>
        <v>4</v>
      </c>
      <c r="M91" t="s">
        <v>465</v>
      </c>
      <c r="N91">
        <f t="shared" si="12"/>
        <v>4</v>
      </c>
      <c r="O91" t="str">
        <f t="shared" si="13"/>
        <v>splňuje</v>
      </c>
      <c r="P91" t="s">
        <v>514</v>
      </c>
      <c r="Q91" t="s">
        <v>405</v>
      </c>
      <c r="R91" t="s">
        <v>544</v>
      </c>
      <c r="S91">
        <v>11023</v>
      </c>
    </row>
    <row r="92" spans="1:19" x14ac:dyDescent="0.3">
      <c r="A92" s="82" t="s">
        <v>545</v>
      </c>
      <c r="B92" s="82" t="s">
        <v>201</v>
      </c>
      <c r="C92" s="82" t="s">
        <v>387</v>
      </c>
      <c r="D92" s="83">
        <v>22297</v>
      </c>
      <c r="E92">
        <f t="shared" ca="1" si="7"/>
        <v>62</v>
      </c>
      <c r="F92" s="83">
        <v>32371</v>
      </c>
      <c r="G92">
        <f t="shared" ca="1" si="8"/>
        <v>34</v>
      </c>
      <c r="H92">
        <v>15</v>
      </c>
      <c r="I92" t="str">
        <f t="shared" ca="1" si="9"/>
        <v>splňuje</v>
      </c>
      <c r="J92" t="str">
        <f t="shared" ca="1" si="10"/>
        <v>víc než 20</v>
      </c>
      <c r="K92" t="s">
        <v>381</v>
      </c>
      <c r="L92">
        <f t="shared" si="11"/>
        <v>2</v>
      </c>
      <c r="M92" t="s">
        <v>465</v>
      </c>
      <c r="N92">
        <f t="shared" si="12"/>
        <v>4</v>
      </c>
      <c r="O92" t="str">
        <f t="shared" si="13"/>
        <v>překračuje</v>
      </c>
      <c r="P92" t="s">
        <v>514</v>
      </c>
      <c r="Q92" t="s">
        <v>405</v>
      </c>
      <c r="R92" t="s">
        <v>546</v>
      </c>
      <c r="S92">
        <v>13719</v>
      </c>
    </row>
    <row r="93" spans="1:19" x14ac:dyDescent="0.3">
      <c r="A93" s="82" t="s">
        <v>547</v>
      </c>
      <c r="B93" s="82" t="s">
        <v>548</v>
      </c>
      <c r="C93" s="82" t="s">
        <v>387</v>
      </c>
      <c r="D93" s="83">
        <v>21905</v>
      </c>
      <c r="E93">
        <f t="shared" ca="1" si="7"/>
        <v>63</v>
      </c>
      <c r="F93" s="83">
        <v>29602</v>
      </c>
      <c r="G93">
        <f t="shared" ca="1" si="8"/>
        <v>42</v>
      </c>
      <c r="H93">
        <v>0</v>
      </c>
      <c r="I93" t="str">
        <f t="shared" ca="1" si="9"/>
        <v>splňuje</v>
      </c>
      <c r="J93" t="str">
        <f t="shared" ca="1" si="10"/>
        <v>víc než 20</v>
      </c>
      <c r="K93" t="s">
        <v>390</v>
      </c>
      <c r="L93">
        <f t="shared" si="11"/>
        <v>1</v>
      </c>
      <c r="M93" t="s">
        <v>390</v>
      </c>
      <c r="N93">
        <f t="shared" si="12"/>
        <v>1</v>
      </c>
      <c r="O93" t="str">
        <f t="shared" si="13"/>
        <v>splňuje</v>
      </c>
      <c r="P93" t="s">
        <v>514</v>
      </c>
      <c r="Q93" t="s">
        <v>383</v>
      </c>
      <c r="R93" t="s">
        <v>528</v>
      </c>
      <c r="S93">
        <v>8213</v>
      </c>
    </row>
    <row r="94" spans="1:19" x14ac:dyDescent="0.3">
      <c r="A94" s="82" t="s">
        <v>549</v>
      </c>
      <c r="B94" s="82" t="s">
        <v>550</v>
      </c>
      <c r="C94" s="82" t="s">
        <v>387</v>
      </c>
      <c r="D94" s="83">
        <v>21899</v>
      </c>
      <c r="E94">
        <f t="shared" ca="1" si="7"/>
        <v>63</v>
      </c>
      <c r="F94" s="83">
        <v>29925</v>
      </c>
      <c r="G94">
        <f t="shared" ca="1" si="8"/>
        <v>41</v>
      </c>
      <c r="H94">
        <v>4</v>
      </c>
      <c r="I94" t="str">
        <f t="shared" ca="1" si="9"/>
        <v>splňuje</v>
      </c>
      <c r="J94" t="str">
        <f t="shared" ca="1" si="10"/>
        <v>víc než 20</v>
      </c>
      <c r="K94" t="s">
        <v>381</v>
      </c>
      <c r="L94">
        <f t="shared" si="11"/>
        <v>2</v>
      </c>
      <c r="M94" t="s">
        <v>381</v>
      </c>
      <c r="N94">
        <f t="shared" si="12"/>
        <v>2</v>
      </c>
      <c r="O94" t="str">
        <f t="shared" si="13"/>
        <v>splňuje</v>
      </c>
      <c r="P94" t="s">
        <v>514</v>
      </c>
      <c r="Q94" t="s">
        <v>383</v>
      </c>
      <c r="R94" t="s">
        <v>520</v>
      </c>
      <c r="S94">
        <v>10134</v>
      </c>
    </row>
    <row r="95" spans="1:19" x14ac:dyDescent="0.3">
      <c r="A95" s="82" t="s">
        <v>551</v>
      </c>
      <c r="B95" s="82" t="s">
        <v>533</v>
      </c>
      <c r="C95" s="82" t="s">
        <v>387</v>
      </c>
      <c r="D95" s="83">
        <v>20598</v>
      </c>
      <c r="E95">
        <f t="shared" ca="1" si="7"/>
        <v>66</v>
      </c>
      <c r="F95" s="83">
        <v>30733</v>
      </c>
      <c r="G95">
        <f t="shared" ca="1" si="8"/>
        <v>38</v>
      </c>
      <c r="H95">
        <v>5</v>
      </c>
      <c r="I95" t="str">
        <f t="shared" ca="1" si="9"/>
        <v>splňuje</v>
      </c>
      <c r="J95" t="str">
        <f t="shared" ca="1" si="10"/>
        <v>víc než 20</v>
      </c>
      <c r="K95" t="s">
        <v>381</v>
      </c>
      <c r="L95">
        <f t="shared" si="11"/>
        <v>2</v>
      </c>
      <c r="M95" t="s">
        <v>390</v>
      </c>
      <c r="N95">
        <f t="shared" si="12"/>
        <v>1</v>
      </c>
      <c r="O95" t="str">
        <f t="shared" si="13"/>
        <v>nesplňuje</v>
      </c>
      <c r="P95" t="s">
        <v>514</v>
      </c>
      <c r="Q95" t="s">
        <v>383</v>
      </c>
      <c r="R95" t="s">
        <v>523</v>
      </c>
      <c r="S95">
        <v>13568</v>
      </c>
    </row>
    <row r="96" spans="1:19" x14ac:dyDescent="0.3">
      <c r="A96" s="82" t="s">
        <v>552</v>
      </c>
      <c r="B96" s="82" t="s">
        <v>195</v>
      </c>
      <c r="C96" s="82" t="s">
        <v>387</v>
      </c>
      <c r="D96" s="83">
        <v>20129</v>
      </c>
      <c r="E96">
        <f t="shared" ca="1" si="7"/>
        <v>68</v>
      </c>
      <c r="F96" s="83">
        <v>31278</v>
      </c>
      <c r="G96">
        <f t="shared" ca="1" si="8"/>
        <v>37</v>
      </c>
      <c r="H96">
        <v>15</v>
      </c>
      <c r="I96" t="str">
        <f t="shared" ca="1" si="9"/>
        <v>splňuje</v>
      </c>
      <c r="J96" t="str">
        <f t="shared" ca="1" si="10"/>
        <v>víc než 20</v>
      </c>
      <c r="K96" t="s">
        <v>399</v>
      </c>
      <c r="L96">
        <f t="shared" si="11"/>
        <v>3</v>
      </c>
      <c r="M96" t="s">
        <v>465</v>
      </c>
      <c r="N96">
        <f t="shared" si="12"/>
        <v>4</v>
      </c>
      <c r="O96" t="str">
        <f t="shared" si="13"/>
        <v>překračuje</v>
      </c>
      <c r="P96" t="s">
        <v>514</v>
      </c>
      <c r="Q96" t="s">
        <v>405</v>
      </c>
      <c r="R96" t="s">
        <v>553</v>
      </c>
      <c r="S96">
        <v>8308</v>
      </c>
    </row>
    <row r="97" spans="1:19" x14ac:dyDescent="0.3">
      <c r="A97" s="82" t="s">
        <v>554</v>
      </c>
      <c r="B97" s="82" t="s">
        <v>464</v>
      </c>
      <c r="C97" s="82" t="s">
        <v>387</v>
      </c>
      <c r="D97" s="83">
        <v>19253</v>
      </c>
      <c r="E97">
        <f t="shared" ca="1" si="7"/>
        <v>70</v>
      </c>
      <c r="F97" s="83">
        <v>32615</v>
      </c>
      <c r="G97">
        <f t="shared" ca="1" si="8"/>
        <v>33</v>
      </c>
      <c r="H97">
        <v>5</v>
      </c>
      <c r="I97" t="str">
        <f t="shared" ca="1" si="9"/>
        <v>splňuje</v>
      </c>
      <c r="J97" t="str">
        <f t="shared" ca="1" si="10"/>
        <v>víc než 20</v>
      </c>
      <c r="K97" t="s">
        <v>381</v>
      </c>
      <c r="L97">
        <f t="shared" si="11"/>
        <v>2</v>
      </c>
      <c r="M97" t="s">
        <v>381</v>
      </c>
      <c r="N97">
        <f t="shared" si="12"/>
        <v>2</v>
      </c>
      <c r="O97" t="str">
        <f t="shared" si="13"/>
        <v>splňuje</v>
      </c>
      <c r="P97" t="s">
        <v>514</v>
      </c>
      <c r="Q97" t="s">
        <v>383</v>
      </c>
      <c r="R97" t="s">
        <v>555</v>
      </c>
      <c r="S97">
        <v>13060</v>
      </c>
    </row>
    <row r="98" spans="1:19" x14ac:dyDescent="0.3">
      <c r="A98" s="82" t="s">
        <v>556</v>
      </c>
      <c r="B98" s="82" t="s">
        <v>513</v>
      </c>
      <c r="C98" s="82" t="s">
        <v>380</v>
      </c>
      <c r="D98" s="83">
        <v>17089</v>
      </c>
      <c r="E98">
        <f t="shared" ca="1" si="7"/>
        <v>76</v>
      </c>
      <c r="F98" s="83">
        <v>35404</v>
      </c>
      <c r="G98">
        <f t="shared" ca="1" si="8"/>
        <v>26</v>
      </c>
      <c r="H98">
        <v>5</v>
      </c>
      <c r="I98" t="str">
        <f t="shared" ca="1" si="9"/>
        <v>splňuje</v>
      </c>
      <c r="J98" t="str">
        <f t="shared" ca="1" si="10"/>
        <v>víc než 20</v>
      </c>
      <c r="K98" t="s">
        <v>381</v>
      </c>
      <c r="L98">
        <f t="shared" si="11"/>
        <v>2</v>
      </c>
      <c r="M98" t="s">
        <v>390</v>
      </c>
      <c r="N98">
        <f t="shared" si="12"/>
        <v>1</v>
      </c>
      <c r="O98" t="str">
        <f t="shared" si="13"/>
        <v>nesplňuje</v>
      </c>
      <c r="P98" t="s">
        <v>514</v>
      </c>
      <c r="Q98" t="s">
        <v>383</v>
      </c>
      <c r="R98" t="s">
        <v>483</v>
      </c>
      <c r="S98">
        <v>11128</v>
      </c>
    </row>
    <row r="99" spans="1:19" x14ac:dyDescent="0.3">
      <c r="A99" s="82" t="s">
        <v>557</v>
      </c>
      <c r="B99" s="82" t="s">
        <v>485</v>
      </c>
      <c r="C99" s="82" t="s">
        <v>387</v>
      </c>
      <c r="D99" s="83">
        <v>16774</v>
      </c>
      <c r="E99">
        <f t="shared" ca="1" si="7"/>
        <v>77</v>
      </c>
      <c r="F99" s="83">
        <v>25917</v>
      </c>
      <c r="G99">
        <f t="shared" ca="1" si="8"/>
        <v>52</v>
      </c>
      <c r="H99">
        <v>5</v>
      </c>
      <c r="I99" t="str">
        <f t="shared" ca="1" si="9"/>
        <v>splňuje</v>
      </c>
      <c r="J99" t="str">
        <f t="shared" ca="1" si="10"/>
        <v>víc než 20</v>
      </c>
      <c r="K99" t="s">
        <v>381</v>
      </c>
      <c r="L99">
        <f t="shared" si="11"/>
        <v>2</v>
      </c>
      <c r="M99" t="s">
        <v>381</v>
      </c>
      <c r="N99">
        <f t="shared" si="12"/>
        <v>2</v>
      </c>
      <c r="O99" t="str">
        <f t="shared" si="13"/>
        <v>splňuje</v>
      </c>
      <c r="P99" t="s">
        <v>514</v>
      </c>
      <c r="Q99" t="s">
        <v>383</v>
      </c>
      <c r="R99" t="s">
        <v>555</v>
      </c>
      <c r="S99">
        <v>11348</v>
      </c>
    </row>
    <row r="100" spans="1:19" x14ac:dyDescent="0.3">
      <c r="A100" s="82" t="s">
        <v>558</v>
      </c>
      <c r="B100" s="82" t="s">
        <v>559</v>
      </c>
      <c r="C100" s="82" t="s">
        <v>387</v>
      </c>
      <c r="D100" s="83">
        <v>16799</v>
      </c>
      <c r="E100">
        <f t="shared" ca="1" si="7"/>
        <v>77</v>
      </c>
      <c r="F100" s="83">
        <v>34595</v>
      </c>
      <c r="G100">
        <f t="shared" ca="1" si="8"/>
        <v>28</v>
      </c>
      <c r="H100">
        <v>2</v>
      </c>
      <c r="I100" t="str">
        <f t="shared" ca="1" si="9"/>
        <v>splňuje</v>
      </c>
      <c r="J100" t="str">
        <f t="shared" ca="1" si="10"/>
        <v>víc než 20</v>
      </c>
      <c r="K100" t="s">
        <v>381</v>
      </c>
      <c r="L100">
        <f t="shared" si="11"/>
        <v>2</v>
      </c>
      <c r="M100" t="s">
        <v>381</v>
      </c>
      <c r="N100">
        <f t="shared" si="12"/>
        <v>2</v>
      </c>
      <c r="O100" t="str">
        <f t="shared" si="13"/>
        <v>splňuje</v>
      </c>
      <c r="P100" t="s">
        <v>514</v>
      </c>
      <c r="Q100" t="s">
        <v>383</v>
      </c>
      <c r="R100" t="s">
        <v>516</v>
      </c>
      <c r="S100">
        <v>8599</v>
      </c>
    </row>
    <row r="101" spans="1:19" x14ac:dyDescent="0.3">
      <c r="A101" s="82" t="s">
        <v>560</v>
      </c>
      <c r="B101" s="82" t="s">
        <v>269</v>
      </c>
      <c r="C101" s="82" t="s">
        <v>387</v>
      </c>
      <c r="D101" s="83">
        <v>16604</v>
      </c>
      <c r="E101">
        <f t="shared" ca="1" si="7"/>
        <v>77</v>
      </c>
      <c r="F101" s="83">
        <v>34279</v>
      </c>
      <c r="G101">
        <f t="shared" ca="1" si="8"/>
        <v>29</v>
      </c>
      <c r="H101">
        <v>2</v>
      </c>
      <c r="I101" t="str">
        <f t="shared" ca="1" si="9"/>
        <v>splňuje</v>
      </c>
      <c r="J101" t="str">
        <f t="shared" ca="1" si="10"/>
        <v>víc než 20</v>
      </c>
      <c r="K101" t="s">
        <v>381</v>
      </c>
      <c r="L101">
        <f t="shared" si="11"/>
        <v>2</v>
      </c>
      <c r="M101" t="s">
        <v>381</v>
      </c>
      <c r="N101">
        <f t="shared" si="12"/>
        <v>2</v>
      </c>
      <c r="O101" t="str">
        <f t="shared" si="13"/>
        <v>splňuje</v>
      </c>
      <c r="P101" t="s">
        <v>514</v>
      </c>
      <c r="Q101" t="s">
        <v>383</v>
      </c>
      <c r="R101" t="s">
        <v>531</v>
      </c>
      <c r="S101">
        <v>12558</v>
      </c>
    </row>
    <row r="102" spans="1:19" x14ac:dyDescent="0.3">
      <c r="A102" s="82" t="s">
        <v>561</v>
      </c>
      <c r="B102" s="82" t="s">
        <v>510</v>
      </c>
      <c r="C102" s="82" t="s">
        <v>380</v>
      </c>
      <c r="D102" s="83">
        <v>16649</v>
      </c>
      <c r="E102">
        <f t="shared" ca="1" si="7"/>
        <v>77</v>
      </c>
      <c r="F102" s="83">
        <v>33952</v>
      </c>
      <c r="G102">
        <f t="shared" ca="1" si="8"/>
        <v>30</v>
      </c>
      <c r="H102">
        <v>0</v>
      </c>
      <c r="I102" t="str">
        <f t="shared" ca="1" si="9"/>
        <v>splňuje</v>
      </c>
      <c r="J102" t="str">
        <f t="shared" ca="1" si="10"/>
        <v>víc než 20</v>
      </c>
      <c r="K102" t="s">
        <v>390</v>
      </c>
      <c r="L102">
        <f t="shared" si="11"/>
        <v>1</v>
      </c>
      <c r="M102" t="s">
        <v>390</v>
      </c>
      <c r="N102">
        <f t="shared" si="12"/>
        <v>1</v>
      </c>
      <c r="O102" t="str">
        <f t="shared" si="13"/>
        <v>splňuje</v>
      </c>
      <c r="P102" t="s">
        <v>514</v>
      </c>
      <c r="Q102" t="s">
        <v>383</v>
      </c>
      <c r="R102" t="s">
        <v>491</v>
      </c>
      <c r="S102">
        <v>10327</v>
      </c>
    </row>
    <row r="103" spans="1:19" x14ac:dyDescent="0.3">
      <c r="A103" s="82" t="s">
        <v>562</v>
      </c>
      <c r="B103" s="82" t="s">
        <v>563</v>
      </c>
      <c r="C103" s="82" t="s">
        <v>387</v>
      </c>
      <c r="D103" s="83">
        <v>16571</v>
      </c>
      <c r="E103">
        <f t="shared" ca="1" si="7"/>
        <v>77</v>
      </c>
      <c r="F103" s="83">
        <v>35883</v>
      </c>
      <c r="G103">
        <f t="shared" ca="1" si="8"/>
        <v>24</v>
      </c>
      <c r="H103">
        <v>20</v>
      </c>
      <c r="I103" t="str">
        <f t="shared" ca="1" si="9"/>
        <v>splňuje</v>
      </c>
      <c r="J103" t="str">
        <f t="shared" ca="1" si="10"/>
        <v>víc než 20</v>
      </c>
      <c r="K103" t="s">
        <v>465</v>
      </c>
      <c r="L103">
        <f t="shared" si="11"/>
        <v>4</v>
      </c>
      <c r="M103" t="s">
        <v>465</v>
      </c>
      <c r="N103">
        <f t="shared" si="12"/>
        <v>4</v>
      </c>
      <c r="O103" t="str">
        <f t="shared" si="13"/>
        <v>splňuje</v>
      </c>
      <c r="P103" t="s">
        <v>514</v>
      </c>
      <c r="Q103" t="s">
        <v>405</v>
      </c>
      <c r="R103" t="s">
        <v>564</v>
      </c>
      <c r="S103">
        <v>12413</v>
      </c>
    </row>
    <row r="104" spans="1:19" x14ac:dyDescent="0.3">
      <c r="A104" s="82" t="s">
        <v>565</v>
      </c>
      <c r="B104" s="82" t="s">
        <v>266</v>
      </c>
      <c r="C104" s="82" t="s">
        <v>387</v>
      </c>
      <c r="D104" s="83">
        <v>16288</v>
      </c>
      <c r="E104">
        <f ca="1">INT((TODAY()-D104)/365)</f>
        <v>78</v>
      </c>
      <c r="F104" s="83">
        <v>34137</v>
      </c>
      <c r="G104">
        <f ca="1">INT((TODAY()-F104)/365)</f>
        <v>29</v>
      </c>
      <c r="H104">
        <v>5</v>
      </c>
      <c r="I104" t="str">
        <f ca="1">IF(H104&lt;=G104,"splňuje","nesplňuje")</f>
        <v>splňuje</v>
      </c>
      <c r="J104" t="str">
        <f t="shared" ca="1" si="10"/>
        <v>víc než 20</v>
      </c>
      <c r="K104" t="s">
        <v>381</v>
      </c>
      <c r="L104">
        <f>IF(K104="Z",1,IF(K104="VYUČ",2,IF(K104="SŠ",3,4)))</f>
        <v>2</v>
      </c>
      <c r="M104" t="s">
        <v>381</v>
      </c>
      <c r="N104">
        <f>IF(M104="Z",1,IF(M104="VYUČ",2,IF(M104="SŠ",3,4)))</f>
        <v>2</v>
      </c>
      <c r="O104" t="str">
        <f>IF(N104=L104,"splňuje",IF(N104&lt;L104,"nesplňuje","překračuje"))</f>
        <v>splňuje</v>
      </c>
      <c r="P104" t="s">
        <v>514</v>
      </c>
      <c r="Q104" t="s">
        <v>383</v>
      </c>
      <c r="R104" t="s">
        <v>555</v>
      </c>
      <c r="S104">
        <v>14742</v>
      </c>
    </row>
    <row r="105" spans="1:19" x14ac:dyDescent="0.3">
      <c r="A105" s="82" t="s">
        <v>566</v>
      </c>
      <c r="B105" s="82" t="s">
        <v>429</v>
      </c>
      <c r="C105" s="82" t="s">
        <v>387</v>
      </c>
      <c r="D105" s="83">
        <v>15239</v>
      </c>
      <c r="E105">
        <f ca="1">INT((TODAY()-D105)/365)</f>
        <v>81</v>
      </c>
      <c r="F105" s="83">
        <v>28232</v>
      </c>
      <c r="G105">
        <f ca="1">INT((TODAY()-F105)/365)</f>
        <v>45</v>
      </c>
      <c r="H105">
        <v>5</v>
      </c>
      <c r="I105" t="str">
        <f ca="1">IF(H105&lt;=G105,"splňuje","nesplňuje")</f>
        <v>splňuje</v>
      </c>
      <c r="J105" t="str">
        <f t="shared" ca="1" si="10"/>
        <v>víc než 20</v>
      </c>
      <c r="K105" t="s">
        <v>381</v>
      </c>
      <c r="L105">
        <f>IF(K105="Z",1,IF(K105="VYUČ",2,IF(K105="SŠ",3,4)))</f>
        <v>2</v>
      </c>
      <c r="M105" t="s">
        <v>381</v>
      </c>
      <c r="N105">
        <f>IF(M105="Z",1,IF(M105="VYUČ",2,IF(M105="SŠ",3,4)))</f>
        <v>2</v>
      </c>
      <c r="O105" t="str">
        <f>IF(N105=L105,"splňuje",IF(N105&lt;L105,"nesplňuje","překračuje"))</f>
        <v>splňuje</v>
      </c>
      <c r="P105" t="s">
        <v>514</v>
      </c>
      <c r="Q105" t="s">
        <v>383</v>
      </c>
      <c r="R105" t="s">
        <v>555</v>
      </c>
      <c r="S105">
        <v>12477</v>
      </c>
    </row>
    <row r="106" spans="1:19" x14ac:dyDescent="0.3">
      <c r="A106" s="82" t="s">
        <v>567</v>
      </c>
      <c r="B106" s="82" t="s">
        <v>568</v>
      </c>
      <c r="C106" s="82" t="s">
        <v>387</v>
      </c>
      <c r="D106" s="83">
        <v>15027</v>
      </c>
      <c r="E106">
        <f ca="1">INT((TODAY()-D106)/365)</f>
        <v>82</v>
      </c>
      <c r="F106" s="83">
        <v>30955</v>
      </c>
      <c r="G106">
        <f ca="1">INT((TODAY()-F106)/365)</f>
        <v>38</v>
      </c>
      <c r="H106">
        <v>0</v>
      </c>
      <c r="I106" t="str">
        <f ca="1">IF(H106&lt;=G106,"splňuje","nesplňuje")</f>
        <v>splňuje</v>
      </c>
      <c r="J106" t="str">
        <f t="shared" ca="1" si="10"/>
        <v>víc než 20</v>
      </c>
      <c r="K106" t="s">
        <v>381</v>
      </c>
      <c r="L106">
        <f>IF(K106="Z",1,IF(K106="VYUČ",2,IF(K106="SŠ",3,4)))</f>
        <v>2</v>
      </c>
      <c r="M106" t="s">
        <v>390</v>
      </c>
      <c r="N106">
        <f>IF(M106="Z",1,IF(M106="VYUČ",2,IF(M106="SŠ",3,4)))</f>
        <v>1</v>
      </c>
      <c r="O106" t="str">
        <f>IF(N106=L106,"splňuje",IF(N106&lt;L106,"nesplňuje","překračuje"))</f>
        <v>nesplňuje</v>
      </c>
      <c r="P106" t="s">
        <v>514</v>
      </c>
      <c r="Q106" t="s">
        <v>383</v>
      </c>
      <c r="R106" t="s">
        <v>528</v>
      </c>
      <c r="S106">
        <v>11040</v>
      </c>
    </row>
  </sheetData>
  <hyperlinks>
    <hyperlink ref="M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rgb="FFFFFF00"/>
  </sheetPr>
  <dimension ref="A1:N32"/>
  <sheetViews>
    <sheetView workbookViewId="0">
      <selection activeCell="L1" sqref="L1"/>
    </sheetView>
  </sheetViews>
  <sheetFormatPr defaultRowHeight="14.4" x14ac:dyDescent="0.3"/>
  <cols>
    <col min="1" max="1" width="17.88671875" customWidth="1"/>
    <col min="2" max="2" width="12.88671875" customWidth="1"/>
    <col min="4" max="4" width="20.109375" customWidth="1"/>
    <col min="5" max="5" width="6" hidden="1" customWidth="1"/>
    <col min="6" max="6" width="13.6640625" hidden="1" customWidth="1"/>
    <col min="7" max="7" width="6.5546875" customWidth="1"/>
    <col min="8" max="8" width="11.44140625" customWidth="1"/>
    <col min="10" max="10" width="11.109375" customWidth="1"/>
  </cols>
  <sheetData>
    <row r="1" spans="1:12" x14ac:dyDescent="0.3">
      <c r="A1" s="178" t="s">
        <v>577</v>
      </c>
      <c r="L1" s="182" t="s">
        <v>1148</v>
      </c>
    </row>
    <row r="19" spans="1:14" x14ac:dyDescent="0.3">
      <c r="N19" s="182"/>
    </row>
    <row r="20" spans="1:14" x14ac:dyDescent="0.3">
      <c r="A20" t="s">
        <v>582</v>
      </c>
    </row>
    <row r="21" spans="1:14" ht="28.8" x14ac:dyDescent="0.3">
      <c r="A21" s="84" t="s">
        <v>178</v>
      </c>
      <c r="B21" s="84" t="s">
        <v>244</v>
      </c>
      <c r="C21" s="84" t="s">
        <v>363</v>
      </c>
      <c r="D21" s="84" t="s">
        <v>364</v>
      </c>
      <c r="E21" s="85" t="s">
        <v>180</v>
      </c>
      <c r="F21" s="84" t="s">
        <v>365</v>
      </c>
      <c r="G21" s="86" t="s">
        <v>581</v>
      </c>
      <c r="H21" s="86" t="s">
        <v>578</v>
      </c>
      <c r="I21" s="86" t="s">
        <v>579</v>
      </c>
      <c r="J21" s="86" t="s">
        <v>580</v>
      </c>
      <c r="K21" s="85" t="s">
        <v>370</v>
      </c>
    </row>
    <row r="22" spans="1:14" x14ac:dyDescent="0.3">
      <c r="A22" s="82" t="s">
        <v>379</v>
      </c>
      <c r="B22" s="82" t="s">
        <v>273</v>
      </c>
      <c r="C22" s="82" t="s">
        <v>380</v>
      </c>
      <c r="D22" s="83">
        <v>28501</v>
      </c>
      <c r="E22">
        <f t="shared" ref="E22:E32" ca="1" si="0">INT((TODAY()-D22)/365)</f>
        <v>45</v>
      </c>
      <c r="F22" s="83">
        <v>35946</v>
      </c>
      <c r="G22">
        <f t="shared" ref="G22:G32" ca="1" si="1">INT((TODAY()-F22)/365)</f>
        <v>24</v>
      </c>
      <c r="H22">
        <v>4</v>
      </c>
      <c r="I22" t="str">
        <f t="shared" ref="I22:I32" ca="1" si="2">IF(H22&lt;=G22,"splňuje","nesplňuje")</f>
        <v>splňuje</v>
      </c>
      <c r="J22" t="str">
        <f t="shared" ref="J22:J32" ca="1" si="3">IF(G22&lt;=5,"méně než 5",IF(G22&lt;=10,"5-10",IF(G22&lt;=20,"10-20","víc než 20")))</f>
        <v>víc než 20</v>
      </c>
      <c r="K22" t="s">
        <v>381</v>
      </c>
    </row>
    <row r="23" spans="1:14" x14ac:dyDescent="0.3">
      <c r="A23" s="82" t="s">
        <v>385</v>
      </c>
      <c r="B23" s="82" t="s">
        <v>386</v>
      </c>
      <c r="C23" s="82" t="s">
        <v>387</v>
      </c>
      <c r="D23" s="83">
        <v>27167</v>
      </c>
      <c r="E23">
        <f t="shared" ca="1" si="0"/>
        <v>48</v>
      </c>
      <c r="F23" s="83">
        <v>35284</v>
      </c>
      <c r="G23">
        <f t="shared" ca="1" si="1"/>
        <v>26</v>
      </c>
      <c r="H23">
        <v>8</v>
      </c>
      <c r="I23" t="str">
        <f t="shared" ca="1" si="2"/>
        <v>splňuje</v>
      </c>
      <c r="J23" t="str">
        <f t="shared" ca="1" si="3"/>
        <v>víc než 20</v>
      </c>
      <c r="K23" t="s">
        <v>381</v>
      </c>
    </row>
    <row r="24" spans="1:14" x14ac:dyDescent="0.3">
      <c r="A24" s="82" t="s">
        <v>389</v>
      </c>
      <c r="B24" s="82" t="s">
        <v>195</v>
      </c>
      <c r="C24" s="82" t="s">
        <v>387</v>
      </c>
      <c r="D24" s="83">
        <v>26314</v>
      </c>
      <c r="E24">
        <f t="shared" ca="1" si="0"/>
        <v>51</v>
      </c>
      <c r="F24" s="83">
        <v>35442</v>
      </c>
      <c r="G24">
        <f t="shared" ca="1" si="1"/>
        <v>26</v>
      </c>
      <c r="H24">
        <v>0</v>
      </c>
      <c r="I24" t="str">
        <f t="shared" ca="1" si="2"/>
        <v>splňuje</v>
      </c>
      <c r="J24" t="str">
        <f t="shared" ca="1" si="3"/>
        <v>víc než 20</v>
      </c>
      <c r="K24" t="s">
        <v>390</v>
      </c>
    </row>
    <row r="25" spans="1:14" x14ac:dyDescent="0.3">
      <c r="A25" s="82" t="s">
        <v>392</v>
      </c>
      <c r="B25" s="82" t="s">
        <v>393</v>
      </c>
      <c r="C25" s="82" t="s">
        <v>387</v>
      </c>
      <c r="D25" s="83">
        <v>25892</v>
      </c>
      <c r="E25">
        <f t="shared" ca="1" si="0"/>
        <v>52</v>
      </c>
      <c r="F25" s="83">
        <v>35051</v>
      </c>
      <c r="G25">
        <f t="shared" ca="1" si="1"/>
        <v>27</v>
      </c>
      <c r="H25">
        <v>0</v>
      </c>
      <c r="I25" t="str">
        <f t="shared" ca="1" si="2"/>
        <v>splňuje</v>
      </c>
      <c r="J25" t="str">
        <f t="shared" ca="1" si="3"/>
        <v>víc než 20</v>
      </c>
      <c r="K25" t="s">
        <v>381</v>
      </c>
    </row>
    <row r="26" spans="1:14" hidden="1" x14ac:dyDescent="0.3">
      <c r="A26" s="82" t="s">
        <v>395</v>
      </c>
      <c r="B26" s="82" t="s">
        <v>266</v>
      </c>
      <c r="C26" s="82" t="s">
        <v>387</v>
      </c>
      <c r="D26" s="83">
        <v>22951</v>
      </c>
      <c r="E26">
        <f t="shared" ca="1" si="0"/>
        <v>60</v>
      </c>
      <c r="F26" s="83">
        <v>33301</v>
      </c>
      <c r="G26">
        <f t="shared" ca="1" si="1"/>
        <v>31</v>
      </c>
      <c r="H26">
        <v>10</v>
      </c>
      <c r="I26" t="str">
        <f t="shared" ca="1" si="2"/>
        <v>splňuje</v>
      </c>
      <c r="J26" t="str">
        <f t="shared" ca="1" si="3"/>
        <v>víc než 20</v>
      </c>
      <c r="K26" t="s">
        <v>381</v>
      </c>
    </row>
    <row r="27" spans="1:14" hidden="1" x14ac:dyDescent="0.3">
      <c r="A27" s="82" t="s">
        <v>397</v>
      </c>
      <c r="B27" s="82" t="s">
        <v>398</v>
      </c>
      <c r="C27" s="82" t="s">
        <v>380</v>
      </c>
      <c r="D27" s="83">
        <v>21102</v>
      </c>
      <c r="E27">
        <f t="shared" ca="1" si="0"/>
        <v>65</v>
      </c>
      <c r="F27" s="83">
        <v>32494</v>
      </c>
      <c r="G27">
        <f t="shared" ca="1" si="1"/>
        <v>34</v>
      </c>
      <c r="H27">
        <v>2</v>
      </c>
      <c r="I27" t="str">
        <f t="shared" ca="1" si="2"/>
        <v>splňuje</v>
      </c>
      <c r="J27" t="str">
        <f t="shared" ca="1" si="3"/>
        <v>víc než 20</v>
      </c>
      <c r="K27" t="s">
        <v>399</v>
      </c>
    </row>
    <row r="28" spans="1:14" hidden="1" x14ac:dyDescent="0.3">
      <c r="A28" s="82" t="s">
        <v>401</v>
      </c>
      <c r="B28" s="82" t="s">
        <v>195</v>
      </c>
      <c r="C28" s="82" t="s">
        <v>387</v>
      </c>
      <c r="D28" s="83">
        <v>20353</v>
      </c>
      <c r="E28">
        <f t="shared" ca="1" si="0"/>
        <v>67</v>
      </c>
      <c r="F28" s="83">
        <v>32130</v>
      </c>
      <c r="G28">
        <f t="shared" ca="1" si="1"/>
        <v>35</v>
      </c>
      <c r="H28">
        <v>0</v>
      </c>
      <c r="I28" t="str">
        <f t="shared" ca="1" si="2"/>
        <v>splňuje</v>
      </c>
      <c r="J28" t="str">
        <f t="shared" ca="1" si="3"/>
        <v>víc než 20</v>
      </c>
      <c r="K28" t="s">
        <v>381</v>
      </c>
    </row>
    <row r="29" spans="1:14" x14ac:dyDescent="0.3">
      <c r="A29" s="82" t="s">
        <v>403</v>
      </c>
      <c r="B29" s="82" t="s">
        <v>404</v>
      </c>
      <c r="C29" s="82" t="s">
        <v>387</v>
      </c>
      <c r="D29" s="83">
        <v>19633</v>
      </c>
      <c r="E29">
        <f t="shared" ca="1" si="0"/>
        <v>69</v>
      </c>
      <c r="F29" s="83">
        <v>27062</v>
      </c>
      <c r="G29">
        <f t="shared" ca="1" si="1"/>
        <v>49</v>
      </c>
      <c r="H29">
        <v>10</v>
      </c>
      <c r="I29" t="str">
        <f t="shared" ca="1" si="2"/>
        <v>splňuje</v>
      </c>
      <c r="J29" t="str">
        <f t="shared" ca="1" si="3"/>
        <v>víc než 20</v>
      </c>
      <c r="K29" t="s">
        <v>399</v>
      </c>
    </row>
    <row r="30" spans="1:14" x14ac:dyDescent="0.3">
      <c r="A30" s="82" t="s">
        <v>407</v>
      </c>
      <c r="B30" s="82" t="s">
        <v>408</v>
      </c>
      <c r="C30" s="82" t="s">
        <v>387</v>
      </c>
      <c r="D30" s="83">
        <v>16443</v>
      </c>
      <c r="E30">
        <f t="shared" ca="1" si="0"/>
        <v>78</v>
      </c>
      <c r="F30" s="83">
        <v>28660</v>
      </c>
      <c r="G30">
        <f t="shared" ca="1" si="1"/>
        <v>44</v>
      </c>
      <c r="H30">
        <v>8</v>
      </c>
      <c r="I30" t="str">
        <f t="shared" ca="1" si="2"/>
        <v>splňuje</v>
      </c>
      <c r="J30" t="str">
        <f t="shared" ca="1" si="3"/>
        <v>víc než 20</v>
      </c>
      <c r="K30" t="s">
        <v>381</v>
      </c>
    </row>
    <row r="31" spans="1:14" x14ac:dyDescent="0.3">
      <c r="A31" s="82" t="s">
        <v>410</v>
      </c>
      <c r="B31" s="82" t="s">
        <v>195</v>
      </c>
      <c r="C31" s="82" t="s">
        <v>387</v>
      </c>
      <c r="D31" s="83">
        <v>15681</v>
      </c>
      <c r="E31">
        <f t="shared" ca="1" si="0"/>
        <v>80</v>
      </c>
      <c r="F31" s="83">
        <v>35911</v>
      </c>
      <c r="G31">
        <f t="shared" ca="1" si="1"/>
        <v>24</v>
      </c>
      <c r="H31">
        <v>8</v>
      </c>
      <c r="I31" t="str">
        <f t="shared" ca="1" si="2"/>
        <v>splňuje</v>
      </c>
      <c r="J31" t="str">
        <f t="shared" ca="1" si="3"/>
        <v>víc než 20</v>
      </c>
      <c r="K31" t="s">
        <v>381</v>
      </c>
    </row>
    <row r="32" spans="1:14" x14ac:dyDescent="0.3">
      <c r="A32" s="82" t="s">
        <v>412</v>
      </c>
      <c r="B32" s="82" t="s">
        <v>413</v>
      </c>
      <c r="C32" s="82" t="s">
        <v>387</v>
      </c>
      <c r="D32" s="83">
        <v>26239</v>
      </c>
      <c r="E32">
        <f t="shared" ca="1" si="0"/>
        <v>51</v>
      </c>
      <c r="F32" s="83">
        <v>35241</v>
      </c>
      <c r="G32">
        <f t="shared" ca="1" si="1"/>
        <v>26</v>
      </c>
      <c r="H32">
        <v>10</v>
      </c>
      <c r="I32" t="str">
        <f t="shared" ca="1" si="2"/>
        <v>splňuje</v>
      </c>
      <c r="J32" t="str">
        <f t="shared" ca="1" si="3"/>
        <v>víc než 20</v>
      </c>
      <c r="K32" t="s">
        <v>381</v>
      </c>
    </row>
  </sheetData>
  <hyperlinks>
    <hyperlink ref="L1" location="Obsah!A1" display="Obsah"/>
  </hyperlinks>
  <pageMargins left="0.7" right="0.7" top="0.78740157499999996" bottom="0.78740157499999996" header="0.3" footer="0.3"/>
  <pageSetup paperSize="9" orientation="portrait" r:id="rId1"/>
  <ignoredErrors>
    <ignoredError sqref="J22:J32" twoDigitTextYear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rgb="FFFFFF00"/>
  </sheetPr>
  <dimension ref="B1:N5"/>
  <sheetViews>
    <sheetView topLeftCell="A10" workbookViewId="0">
      <selection activeCell="N39" sqref="N39"/>
    </sheetView>
  </sheetViews>
  <sheetFormatPr defaultRowHeight="14.4" x14ac:dyDescent="0.3"/>
  <cols>
    <col min="1" max="1" width="2" customWidth="1"/>
    <col min="8" max="8" width="13.33203125" customWidth="1"/>
  </cols>
  <sheetData>
    <row r="1" spans="2:14" ht="18" x14ac:dyDescent="0.35">
      <c r="I1" s="178" t="s">
        <v>763</v>
      </c>
      <c r="N1" s="182" t="s">
        <v>1148</v>
      </c>
    </row>
    <row r="2" spans="2:14" x14ac:dyDescent="0.3">
      <c r="B2" s="18" t="s">
        <v>112</v>
      </c>
      <c r="C2" s="18" t="s">
        <v>116</v>
      </c>
      <c r="D2" s="18" t="s">
        <v>117</v>
      </c>
      <c r="E2" s="18" t="s">
        <v>118</v>
      </c>
      <c r="F2" s="18" t="s">
        <v>119</v>
      </c>
      <c r="G2" s="18" t="s">
        <v>133</v>
      </c>
    </row>
    <row r="3" spans="2:14" x14ac:dyDescent="0.3">
      <c r="B3" s="19" t="s">
        <v>113</v>
      </c>
      <c r="C3" s="20">
        <v>15.8</v>
      </c>
      <c r="D3" s="20">
        <v>21.87</v>
      </c>
      <c r="E3" s="20">
        <v>25.3</v>
      </c>
      <c r="F3" s="20">
        <v>19.3</v>
      </c>
      <c r="G3" s="88">
        <f>SUM(C3:F3)</f>
        <v>82.27</v>
      </c>
    </row>
    <row r="4" spans="2:14" x14ac:dyDescent="0.3">
      <c r="B4" s="19" t="s">
        <v>114</v>
      </c>
      <c r="C4" s="20">
        <v>11.8</v>
      </c>
      <c r="D4" s="20">
        <v>18.8</v>
      </c>
      <c r="E4" s="20">
        <v>20.2</v>
      </c>
      <c r="F4" s="20">
        <v>20.3</v>
      </c>
      <c r="G4" s="88">
        <f t="shared" ref="G4:G5" si="0">SUM(C4:F4)</f>
        <v>71.099999999999994</v>
      </c>
    </row>
    <row r="5" spans="2:14" x14ac:dyDescent="0.3">
      <c r="B5" s="19" t="s">
        <v>115</v>
      </c>
      <c r="C5" s="20">
        <v>26.3</v>
      </c>
      <c r="D5" s="20">
        <v>22.2</v>
      </c>
      <c r="E5" s="20">
        <v>18.2</v>
      </c>
      <c r="F5" s="20">
        <v>17.260000000000002</v>
      </c>
      <c r="G5" s="88">
        <f t="shared" si="0"/>
        <v>83.960000000000008</v>
      </c>
    </row>
  </sheetData>
  <hyperlinks>
    <hyperlink ref="N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rgb="FF92D050"/>
  </sheetPr>
  <dimension ref="B1:L20"/>
  <sheetViews>
    <sheetView topLeftCell="A7" workbookViewId="0">
      <selection activeCell="G15" sqref="G15"/>
    </sheetView>
  </sheetViews>
  <sheetFormatPr defaultRowHeight="14.4" x14ac:dyDescent="0.3"/>
  <cols>
    <col min="1" max="1" width="2" customWidth="1"/>
    <col min="8" max="8" width="13.33203125" customWidth="1"/>
  </cols>
  <sheetData>
    <row r="1" spans="2:12" ht="18" x14ac:dyDescent="0.35">
      <c r="I1" s="34" t="s">
        <v>583</v>
      </c>
    </row>
    <row r="2" spans="2:12" x14ac:dyDescent="0.3">
      <c r="B2" s="18" t="s">
        <v>112</v>
      </c>
      <c r="C2" s="18" t="s">
        <v>116</v>
      </c>
      <c r="D2" s="18" t="s">
        <v>117</v>
      </c>
      <c r="E2" s="18" t="s">
        <v>118</v>
      </c>
      <c r="F2" s="18" t="s">
        <v>119</v>
      </c>
      <c r="G2" s="18" t="s">
        <v>133</v>
      </c>
    </row>
    <row r="3" spans="2:12" x14ac:dyDescent="0.3">
      <c r="B3" s="19" t="s">
        <v>113</v>
      </c>
      <c r="C3" s="20">
        <v>15.8</v>
      </c>
      <c r="D3" s="20">
        <v>21.87</v>
      </c>
      <c r="E3" s="20">
        <v>25.3</v>
      </c>
      <c r="F3" s="20">
        <v>19.3</v>
      </c>
      <c r="G3" s="88">
        <f>SUM(C3:F3)</f>
        <v>82.27</v>
      </c>
    </row>
    <row r="4" spans="2:12" x14ac:dyDescent="0.3">
      <c r="B4" s="19" t="s">
        <v>114</v>
      </c>
      <c r="C4" s="20">
        <v>11.8</v>
      </c>
      <c r="D4" s="20">
        <v>18.8</v>
      </c>
      <c r="E4" s="20">
        <v>20.2</v>
      </c>
      <c r="F4" s="20">
        <v>20.3</v>
      </c>
      <c r="G4" s="88">
        <f t="shared" ref="G4:G5" si="0">SUM(C4:F4)</f>
        <v>71.099999999999994</v>
      </c>
    </row>
    <row r="5" spans="2:12" x14ac:dyDescent="0.3">
      <c r="B5" s="19" t="s">
        <v>115</v>
      </c>
      <c r="C5" s="20">
        <v>26.3</v>
      </c>
      <c r="D5" s="20">
        <v>22.2</v>
      </c>
      <c r="E5" s="20">
        <v>18.2</v>
      </c>
      <c r="F5" s="20">
        <v>17.260000000000002</v>
      </c>
      <c r="G5" s="88">
        <f t="shared" si="0"/>
        <v>83.960000000000008</v>
      </c>
    </row>
    <row r="7" spans="2:12" x14ac:dyDescent="0.3">
      <c r="B7" t="s">
        <v>112</v>
      </c>
      <c r="C7" t="s">
        <v>116</v>
      </c>
      <c r="D7" t="s">
        <v>117</v>
      </c>
      <c r="E7" t="s">
        <v>118</v>
      </c>
      <c r="F7" t="s">
        <v>119</v>
      </c>
      <c r="G7" t="s">
        <v>133</v>
      </c>
      <c r="I7" s="18" t="s">
        <v>112</v>
      </c>
      <c r="J7" s="19" t="s">
        <v>113</v>
      </c>
      <c r="K7" s="19" t="s">
        <v>114</v>
      </c>
      <c r="L7" s="19" t="s">
        <v>115</v>
      </c>
    </row>
    <row r="8" spans="2:12" x14ac:dyDescent="0.3">
      <c r="B8" t="s">
        <v>113</v>
      </c>
      <c r="C8">
        <v>15.8</v>
      </c>
      <c r="D8">
        <v>21.87</v>
      </c>
      <c r="E8">
        <v>25.3</v>
      </c>
      <c r="F8">
        <v>19.3</v>
      </c>
      <c r="G8">
        <f>SUM(C8:F8)</f>
        <v>82.27</v>
      </c>
      <c r="I8" s="18" t="s">
        <v>116</v>
      </c>
      <c r="J8" s="20">
        <v>15.8</v>
      </c>
      <c r="K8" s="20">
        <v>11.8</v>
      </c>
      <c r="L8" s="20">
        <v>26.3</v>
      </c>
    </row>
    <row r="9" spans="2:12" x14ac:dyDescent="0.3">
      <c r="B9" t="s">
        <v>114</v>
      </c>
      <c r="C9">
        <v>11.8</v>
      </c>
      <c r="D9">
        <v>18.8</v>
      </c>
      <c r="E9">
        <v>20.2</v>
      </c>
      <c r="F9">
        <v>20.3</v>
      </c>
      <c r="G9">
        <f t="shared" ref="G9:G10" si="1">SUM(C9:F9)</f>
        <v>71.099999999999994</v>
      </c>
      <c r="I9" s="18" t="s">
        <v>117</v>
      </c>
      <c r="J9" s="20">
        <v>21.87</v>
      </c>
      <c r="K9" s="20">
        <v>18.8</v>
      </c>
      <c r="L9" s="20">
        <v>22.2</v>
      </c>
    </row>
    <row r="10" spans="2:12" x14ac:dyDescent="0.3">
      <c r="B10" t="s">
        <v>115</v>
      </c>
      <c r="C10">
        <v>26.3</v>
      </c>
      <c r="D10">
        <v>22.2</v>
      </c>
      <c r="E10">
        <v>18.2</v>
      </c>
      <c r="F10">
        <v>17.260000000000002</v>
      </c>
      <c r="G10">
        <f t="shared" si="1"/>
        <v>83.960000000000008</v>
      </c>
      <c r="I10" s="18" t="s">
        <v>118</v>
      </c>
      <c r="J10" s="20">
        <v>25.3</v>
      </c>
      <c r="K10" s="20">
        <v>20.2</v>
      </c>
      <c r="L10" s="20">
        <v>18.2</v>
      </c>
    </row>
    <row r="11" spans="2:12" x14ac:dyDescent="0.3">
      <c r="I11" s="18" t="s">
        <v>119</v>
      </c>
      <c r="J11" s="20">
        <v>19.3</v>
      </c>
      <c r="K11" s="20">
        <v>20.3</v>
      </c>
      <c r="L11" s="20">
        <v>17.260000000000002</v>
      </c>
    </row>
    <row r="12" spans="2:12" x14ac:dyDescent="0.3">
      <c r="B12" t="s">
        <v>112</v>
      </c>
      <c r="C12" t="s">
        <v>116</v>
      </c>
      <c r="D12" t="s">
        <v>117</v>
      </c>
      <c r="E12" t="s">
        <v>118</v>
      </c>
      <c r="F12" t="s">
        <v>119</v>
      </c>
      <c r="G12" t="s">
        <v>133</v>
      </c>
      <c r="I12" s="18" t="s">
        <v>133</v>
      </c>
      <c r="J12" s="88">
        <f>SUM(J8:J11)</f>
        <v>82.27</v>
      </c>
      <c r="K12" s="88">
        <f>SUM(K8:K11)</f>
        <v>71.099999999999994</v>
      </c>
      <c r="L12" s="88">
        <f>SUM(L8:L11)</f>
        <v>83.960000000000008</v>
      </c>
    </row>
    <row r="13" spans="2:12" x14ac:dyDescent="0.3">
      <c r="B13" t="s">
        <v>113</v>
      </c>
      <c r="C13">
        <v>15.8</v>
      </c>
      <c r="D13">
        <v>21.87</v>
      </c>
      <c r="E13">
        <v>25.3</v>
      </c>
      <c r="F13">
        <v>19.3</v>
      </c>
      <c r="G13">
        <v>82.27</v>
      </c>
    </row>
    <row r="14" spans="2:12" x14ac:dyDescent="0.3">
      <c r="B14" t="s">
        <v>114</v>
      </c>
      <c r="C14">
        <v>11.8</v>
      </c>
      <c r="D14">
        <v>18.8</v>
      </c>
      <c r="E14">
        <v>20.2</v>
      </c>
      <c r="F14">
        <v>20.3</v>
      </c>
      <c r="G14">
        <v>71.099999999999994</v>
      </c>
    </row>
    <row r="15" spans="2:12" x14ac:dyDescent="0.3">
      <c r="B15" t="s">
        <v>115</v>
      </c>
      <c r="C15">
        <v>26.3</v>
      </c>
      <c r="D15">
        <v>22.2</v>
      </c>
      <c r="E15">
        <v>18.2</v>
      </c>
      <c r="F15">
        <v>17.260000000000002</v>
      </c>
      <c r="G15">
        <v>83.960000000000008</v>
      </c>
    </row>
    <row r="17" spans="2:7" x14ac:dyDescent="0.3">
      <c r="B17" s="18"/>
      <c r="C17" s="18"/>
      <c r="D17" s="18"/>
      <c r="E17" s="18"/>
      <c r="F17" s="18"/>
      <c r="G17" s="18"/>
    </row>
    <row r="18" spans="2:7" x14ac:dyDescent="0.3">
      <c r="B18" s="19"/>
      <c r="C18" s="20"/>
      <c r="D18" s="20"/>
      <c r="E18" s="20"/>
      <c r="F18" s="20"/>
      <c r="G18" s="88"/>
    </row>
    <row r="19" spans="2:7" x14ac:dyDescent="0.3">
      <c r="B19" s="19"/>
      <c r="C19" s="20"/>
      <c r="D19" s="20"/>
      <c r="E19" s="20"/>
      <c r="F19" s="20"/>
      <c r="G19" s="88"/>
    </row>
    <row r="20" spans="2:7" x14ac:dyDescent="0.3">
      <c r="B20" s="19"/>
      <c r="C20" s="20"/>
      <c r="D20" s="20"/>
      <c r="E20" s="20"/>
      <c r="F20" s="20"/>
      <c r="G20" s="8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rgb="FFFFFF00"/>
  </sheetPr>
  <dimension ref="B1:N20"/>
  <sheetViews>
    <sheetView workbookViewId="0">
      <selection activeCell="N7" sqref="N7"/>
    </sheetView>
  </sheetViews>
  <sheetFormatPr defaultRowHeight="14.4" x14ac:dyDescent="0.3"/>
  <cols>
    <col min="1" max="1" width="2" customWidth="1"/>
    <col min="8" max="8" width="13.33203125" customWidth="1"/>
  </cols>
  <sheetData>
    <row r="1" spans="2:14" ht="18" x14ac:dyDescent="0.35">
      <c r="H1" s="178" t="s">
        <v>764</v>
      </c>
    </row>
    <row r="2" spans="2:14" x14ac:dyDescent="0.3">
      <c r="B2" s="18" t="s">
        <v>112</v>
      </c>
      <c r="C2" s="18" t="s">
        <v>116</v>
      </c>
      <c r="D2" s="18" t="s">
        <v>117</v>
      </c>
      <c r="E2" s="18" t="s">
        <v>118</v>
      </c>
      <c r="F2" s="18" t="s">
        <v>119</v>
      </c>
    </row>
    <row r="3" spans="2:14" x14ac:dyDescent="0.3">
      <c r="B3" s="19" t="s">
        <v>113</v>
      </c>
      <c r="C3" s="20">
        <v>15.8</v>
      </c>
      <c r="D3" s="20">
        <v>21.87</v>
      </c>
      <c r="E3" s="20">
        <v>25.3</v>
      </c>
      <c r="F3" s="20">
        <v>19.3</v>
      </c>
    </row>
    <row r="4" spans="2:14" x14ac:dyDescent="0.3">
      <c r="B4" s="19" t="s">
        <v>114</v>
      </c>
      <c r="C4" s="20">
        <v>11.8</v>
      </c>
      <c r="D4" s="20">
        <v>18.8</v>
      </c>
      <c r="E4" s="20">
        <v>20.2</v>
      </c>
      <c r="F4" s="20">
        <v>20.3</v>
      </c>
    </row>
    <row r="5" spans="2:14" x14ac:dyDescent="0.3">
      <c r="B5" s="19" t="s">
        <v>115</v>
      </c>
      <c r="C5" s="20">
        <v>26.3</v>
      </c>
      <c r="D5" s="20">
        <v>22.2</v>
      </c>
      <c r="E5" s="20">
        <v>18.2</v>
      </c>
      <c r="F5" s="20">
        <v>17.260000000000002</v>
      </c>
    </row>
    <row r="7" spans="2:14" x14ac:dyDescent="0.3">
      <c r="B7" s="18" t="s">
        <v>112</v>
      </c>
      <c r="C7" s="18" t="s">
        <v>116</v>
      </c>
      <c r="D7" s="18" t="s">
        <v>117</v>
      </c>
      <c r="E7" s="18" t="s">
        <v>118</v>
      </c>
      <c r="F7" s="18" t="s">
        <v>119</v>
      </c>
      <c r="H7" s="87" t="s">
        <v>124</v>
      </c>
      <c r="I7" s="87" t="s">
        <v>116</v>
      </c>
      <c r="J7" s="87" t="s">
        <v>117</v>
      </c>
      <c r="K7" s="87" t="s">
        <v>118</v>
      </c>
      <c r="L7" s="87" t="s">
        <v>119</v>
      </c>
      <c r="N7" s="182" t="s">
        <v>1148</v>
      </c>
    </row>
    <row r="8" spans="2:14" x14ac:dyDescent="0.3">
      <c r="B8" s="19" t="s">
        <v>113</v>
      </c>
      <c r="C8" s="20">
        <v>15.8</v>
      </c>
      <c r="D8" s="20">
        <v>21.87</v>
      </c>
      <c r="E8" s="20">
        <v>25.3</v>
      </c>
      <c r="F8" s="20">
        <v>19.3</v>
      </c>
      <c r="H8" s="19" t="s">
        <v>113</v>
      </c>
      <c r="I8" s="20">
        <v>5</v>
      </c>
      <c r="J8" s="20">
        <v>5</v>
      </c>
      <c r="K8" s="20">
        <v>8</v>
      </c>
      <c r="L8" s="20">
        <v>3</v>
      </c>
    </row>
    <row r="9" spans="2:14" x14ac:dyDescent="0.3">
      <c r="B9" s="19" t="s">
        <v>114</v>
      </c>
      <c r="C9" s="20">
        <v>11.8</v>
      </c>
      <c r="D9" s="20">
        <v>18.8</v>
      </c>
      <c r="E9" s="20">
        <v>20.2</v>
      </c>
      <c r="F9" s="20">
        <v>20.3</v>
      </c>
      <c r="H9" s="19" t="s">
        <v>114</v>
      </c>
      <c r="I9" s="20">
        <v>6</v>
      </c>
      <c r="J9" s="20"/>
      <c r="K9" s="20"/>
      <c r="L9" s="20">
        <v>3</v>
      </c>
    </row>
    <row r="10" spans="2:14" x14ac:dyDescent="0.3">
      <c r="B10" s="19" t="s">
        <v>115</v>
      </c>
      <c r="C10" s="20">
        <v>26.3</v>
      </c>
      <c r="D10" s="20">
        <v>22.2</v>
      </c>
      <c r="E10" s="20">
        <v>18.2</v>
      </c>
      <c r="F10" s="20">
        <v>17.260000000000002</v>
      </c>
      <c r="H10" s="19" t="s">
        <v>115</v>
      </c>
      <c r="I10" s="20">
        <v>5</v>
      </c>
      <c r="J10" s="20">
        <v>3</v>
      </c>
      <c r="K10" s="20">
        <v>18.2</v>
      </c>
      <c r="L10" s="20">
        <v>2</v>
      </c>
    </row>
    <row r="12" spans="2:14" x14ac:dyDescent="0.3">
      <c r="B12" s="18" t="s">
        <v>112</v>
      </c>
      <c r="C12" s="18" t="s">
        <v>116</v>
      </c>
      <c r="D12" s="18" t="s">
        <v>117</v>
      </c>
      <c r="E12" s="18" t="s">
        <v>118</v>
      </c>
      <c r="F12" s="18" t="s">
        <v>119</v>
      </c>
      <c r="H12" s="42" t="s">
        <v>125</v>
      </c>
      <c r="I12" s="42" t="s">
        <v>116</v>
      </c>
      <c r="J12" s="42" t="s">
        <v>117</v>
      </c>
      <c r="K12" s="42" t="s">
        <v>118</v>
      </c>
      <c r="L12" s="42" t="s">
        <v>119</v>
      </c>
    </row>
    <row r="13" spans="2:14" x14ac:dyDescent="0.3">
      <c r="B13" s="19" t="s">
        <v>113</v>
      </c>
      <c r="C13" s="20">
        <v>15.8</v>
      </c>
      <c r="D13" s="20">
        <v>21.87</v>
      </c>
      <c r="E13" s="20">
        <v>25.3</v>
      </c>
      <c r="F13" s="20">
        <v>19.3</v>
      </c>
      <c r="H13" s="19" t="s">
        <v>113</v>
      </c>
      <c r="I13" s="20">
        <v>5</v>
      </c>
      <c r="J13" s="20">
        <v>5</v>
      </c>
      <c r="K13" s="20">
        <v>8</v>
      </c>
      <c r="L13" s="20">
        <v>3</v>
      </c>
    </row>
    <row r="14" spans="2:14" x14ac:dyDescent="0.3">
      <c r="B14" s="19" t="s">
        <v>114</v>
      </c>
      <c r="C14" s="20">
        <v>11.8</v>
      </c>
      <c r="D14" s="20">
        <v>18.8</v>
      </c>
      <c r="E14" s="20">
        <v>20.2</v>
      </c>
      <c r="F14" s="20">
        <v>20.3</v>
      </c>
      <c r="H14" s="19" t="s">
        <v>114</v>
      </c>
      <c r="I14" s="20">
        <v>6</v>
      </c>
      <c r="J14" s="20"/>
      <c r="K14" s="20"/>
      <c r="L14" s="20">
        <v>3</v>
      </c>
    </row>
    <row r="15" spans="2:14" x14ac:dyDescent="0.3">
      <c r="B15" s="19" t="s">
        <v>115</v>
      </c>
      <c r="C15" s="20">
        <v>26.3</v>
      </c>
      <c r="D15" s="20">
        <v>22.2</v>
      </c>
      <c r="E15" s="20">
        <v>18.2</v>
      </c>
      <c r="F15" s="20">
        <v>17.260000000000002</v>
      </c>
      <c r="H15" s="19" t="s">
        <v>115</v>
      </c>
      <c r="I15" s="20">
        <v>5</v>
      </c>
      <c r="J15" s="20">
        <v>3</v>
      </c>
      <c r="K15" s="20">
        <v>18.2</v>
      </c>
      <c r="L15" s="20">
        <v>2</v>
      </c>
    </row>
    <row r="17" spans="2:9" x14ac:dyDescent="0.3">
      <c r="B17" s="18" t="s">
        <v>112</v>
      </c>
      <c r="C17" s="18" t="s">
        <v>116</v>
      </c>
      <c r="D17" s="18" t="s">
        <v>117</v>
      </c>
      <c r="E17" s="18" t="s">
        <v>118</v>
      </c>
      <c r="F17" s="18" t="s">
        <v>119</v>
      </c>
      <c r="H17">
        <v>1.21</v>
      </c>
      <c r="I17" s="160"/>
    </row>
    <row r="18" spans="2:9" x14ac:dyDescent="0.3">
      <c r="B18" s="19" t="s">
        <v>113</v>
      </c>
      <c r="C18" s="20">
        <v>15.8</v>
      </c>
      <c r="D18" s="20">
        <v>21.87</v>
      </c>
      <c r="E18" s="20">
        <v>25.3</v>
      </c>
      <c r="F18" s="20">
        <v>19.3</v>
      </c>
    </row>
    <row r="19" spans="2:9" x14ac:dyDescent="0.3">
      <c r="B19" s="19" t="s">
        <v>114</v>
      </c>
      <c r="C19" s="20">
        <v>11.8</v>
      </c>
      <c r="D19" s="20">
        <v>18.8</v>
      </c>
      <c r="E19" s="20">
        <v>20.2</v>
      </c>
      <c r="F19" s="20">
        <v>20.3</v>
      </c>
    </row>
    <row r="20" spans="2:9" x14ac:dyDescent="0.3">
      <c r="B20" s="19" t="s">
        <v>115</v>
      </c>
      <c r="C20" s="20">
        <v>26.3</v>
      </c>
      <c r="D20" s="20">
        <v>22.2</v>
      </c>
      <c r="E20" s="20">
        <v>18.2</v>
      </c>
      <c r="F20" s="20">
        <v>17.260000000000002</v>
      </c>
    </row>
  </sheetData>
  <hyperlinks>
    <hyperlink ref="N7" location="Obsah!A1" display="Obsah"/>
  </hyperlink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rgb="FF92D050"/>
  </sheetPr>
  <dimension ref="B1:L20"/>
  <sheetViews>
    <sheetView topLeftCell="A4" workbookViewId="0">
      <selection activeCell="L23" sqref="L23"/>
    </sheetView>
  </sheetViews>
  <sheetFormatPr defaultRowHeight="14.4" x14ac:dyDescent="0.3"/>
  <cols>
    <col min="1" max="1" width="2" customWidth="1"/>
    <col min="8" max="8" width="13.33203125" customWidth="1"/>
  </cols>
  <sheetData>
    <row r="1" spans="2:12" ht="18" x14ac:dyDescent="0.35">
      <c r="H1" s="34" t="s">
        <v>584</v>
      </c>
    </row>
    <row r="2" spans="2:12" x14ac:dyDescent="0.3">
      <c r="B2" s="18" t="s">
        <v>112</v>
      </c>
      <c r="C2" s="18" t="s">
        <v>116</v>
      </c>
      <c r="D2" s="18" t="s">
        <v>117</v>
      </c>
      <c r="E2" s="18" t="s">
        <v>118</v>
      </c>
      <c r="F2" s="18" t="s">
        <v>119</v>
      </c>
    </row>
    <row r="3" spans="2:12" x14ac:dyDescent="0.3">
      <c r="B3" s="19" t="s">
        <v>113</v>
      </c>
      <c r="C3" s="20">
        <v>15.8</v>
      </c>
      <c r="D3" s="20">
        <v>21.87</v>
      </c>
      <c r="E3" s="20">
        <v>25.3</v>
      </c>
      <c r="F3" s="20">
        <v>19.3</v>
      </c>
    </row>
    <row r="4" spans="2:12" x14ac:dyDescent="0.3">
      <c r="B4" s="19" t="s">
        <v>114</v>
      </c>
      <c r="C4" s="20">
        <v>11.8</v>
      </c>
      <c r="D4" s="20">
        <v>18.8</v>
      </c>
      <c r="E4" s="20">
        <v>20.2</v>
      </c>
      <c r="F4" s="20">
        <v>20.3</v>
      </c>
    </row>
    <row r="5" spans="2:12" x14ac:dyDescent="0.3">
      <c r="B5" s="19" t="s">
        <v>115</v>
      </c>
      <c r="C5" s="20">
        <v>26.3</v>
      </c>
      <c r="D5" s="20">
        <v>22.2</v>
      </c>
      <c r="E5" s="20">
        <v>18.2</v>
      </c>
      <c r="F5" s="20">
        <v>17.260000000000002</v>
      </c>
    </row>
    <row r="7" spans="2:12" x14ac:dyDescent="0.3">
      <c r="B7" s="18" t="s">
        <v>112</v>
      </c>
      <c r="C7" s="18" t="s">
        <v>116</v>
      </c>
      <c r="D7" s="18" t="s">
        <v>117</v>
      </c>
      <c r="E7" s="18" t="s">
        <v>118</v>
      </c>
      <c r="F7" s="18" t="s">
        <v>119</v>
      </c>
      <c r="H7" s="87" t="s">
        <v>124</v>
      </c>
      <c r="I7" s="87" t="s">
        <v>116</v>
      </c>
      <c r="J7" s="87" t="s">
        <v>117</v>
      </c>
      <c r="K7" s="87" t="s">
        <v>118</v>
      </c>
      <c r="L7" s="87" t="s">
        <v>119</v>
      </c>
    </row>
    <row r="8" spans="2:12" x14ac:dyDescent="0.3">
      <c r="B8" s="19" t="s">
        <v>113</v>
      </c>
      <c r="C8" s="20">
        <v>20.8</v>
      </c>
      <c r="D8" s="20">
        <v>26.87</v>
      </c>
      <c r="E8" s="20">
        <v>33.299999999999997</v>
      </c>
      <c r="F8" s="20">
        <v>22.3</v>
      </c>
      <c r="H8" s="19" t="s">
        <v>113</v>
      </c>
      <c r="I8" s="20">
        <v>5</v>
      </c>
      <c r="J8" s="20">
        <v>5</v>
      </c>
      <c r="K8" s="20">
        <v>8</v>
      </c>
      <c r="L8" s="20">
        <v>3</v>
      </c>
    </row>
    <row r="9" spans="2:12" x14ac:dyDescent="0.3">
      <c r="B9" s="19" t="s">
        <v>114</v>
      </c>
      <c r="C9" s="20">
        <v>17.8</v>
      </c>
      <c r="D9" s="20">
        <v>18.8</v>
      </c>
      <c r="E9" s="20">
        <v>20.2</v>
      </c>
      <c r="F9" s="20">
        <v>23.3</v>
      </c>
      <c r="H9" s="19" t="s">
        <v>114</v>
      </c>
      <c r="I9" s="20">
        <v>6</v>
      </c>
      <c r="J9" s="20"/>
      <c r="K9" s="20"/>
      <c r="L9" s="20">
        <v>3</v>
      </c>
    </row>
    <row r="10" spans="2:12" x14ac:dyDescent="0.3">
      <c r="B10" s="19" t="s">
        <v>115</v>
      </c>
      <c r="C10" s="20">
        <v>31.3</v>
      </c>
      <c r="D10" s="20">
        <v>25.2</v>
      </c>
      <c r="E10" s="20">
        <v>36.4</v>
      </c>
      <c r="F10" s="20">
        <v>19.260000000000002</v>
      </c>
      <c r="H10" s="19" t="s">
        <v>115</v>
      </c>
      <c r="I10" s="20">
        <v>5</v>
      </c>
      <c r="J10" s="20">
        <v>3</v>
      </c>
      <c r="K10" s="20">
        <v>18.2</v>
      </c>
      <c r="L10" s="20">
        <v>2</v>
      </c>
    </row>
    <row r="12" spans="2:12" x14ac:dyDescent="0.3">
      <c r="B12" s="18" t="s">
        <v>112</v>
      </c>
      <c r="C12" s="18" t="s">
        <v>116</v>
      </c>
      <c r="D12" s="18" t="s">
        <v>117</v>
      </c>
      <c r="E12" s="18" t="s">
        <v>118</v>
      </c>
      <c r="F12" s="18" t="s">
        <v>119</v>
      </c>
      <c r="H12" s="42" t="s">
        <v>125</v>
      </c>
      <c r="I12" s="42" t="s">
        <v>116</v>
      </c>
      <c r="J12" s="42" t="s">
        <v>117</v>
      </c>
      <c r="K12" s="42" t="s">
        <v>118</v>
      </c>
      <c r="L12" s="42" t="s">
        <v>119</v>
      </c>
    </row>
    <row r="13" spans="2:12" x14ac:dyDescent="0.3">
      <c r="B13" s="19" t="s">
        <v>113</v>
      </c>
      <c r="C13" s="20">
        <v>79</v>
      </c>
      <c r="D13" s="20">
        <v>109.35000000000001</v>
      </c>
      <c r="E13" s="20">
        <v>202.4</v>
      </c>
      <c r="F13" s="20">
        <v>57.900000000000006</v>
      </c>
      <c r="H13" s="19" t="s">
        <v>113</v>
      </c>
      <c r="I13" s="20">
        <v>5</v>
      </c>
      <c r="J13" s="20">
        <v>5</v>
      </c>
      <c r="K13" s="20">
        <v>8</v>
      </c>
      <c r="L13" s="20">
        <v>3</v>
      </c>
    </row>
    <row r="14" spans="2:12" x14ac:dyDescent="0.3">
      <c r="B14" s="19" t="s">
        <v>114</v>
      </c>
      <c r="C14" s="20">
        <v>70.800000000000011</v>
      </c>
      <c r="D14" s="20">
        <v>18.8</v>
      </c>
      <c r="E14" s="20">
        <v>20.2</v>
      </c>
      <c r="F14" s="20">
        <v>60.900000000000006</v>
      </c>
      <c r="H14" s="19" t="s">
        <v>114</v>
      </c>
      <c r="I14" s="20">
        <v>6</v>
      </c>
      <c r="J14" s="20"/>
      <c r="K14" s="20"/>
      <c r="L14" s="20">
        <v>3</v>
      </c>
    </row>
    <row r="15" spans="2:12" x14ac:dyDescent="0.3">
      <c r="B15" s="19" t="s">
        <v>115</v>
      </c>
      <c r="C15" s="20">
        <v>131.5</v>
      </c>
      <c r="D15" s="20">
        <v>66.599999999999994</v>
      </c>
      <c r="E15" s="20">
        <v>331.23999999999995</v>
      </c>
      <c r="F15" s="20">
        <v>34.520000000000003</v>
      </c>
      <c r="H15" s="19" t="s">
        <v>115</v>
      </c>
      <c r="I15" s="20">
        <v>5</v>
      </c>
      <c r="J15" s="20">
        <v>3</v>
      </c>
      <c r="K15" s="20">
        <v>18.2</v>
      </c>
      <c r="L15" s="20">
        <v>2</v>
      </c>
    </row>
    <row r="17" spans="2:8" x14ac:dyDescent="0.3">
      <c r="B17" s="18" t="s">
        <v>112</v>
      </c>
      <c r="C17" s="18" t="s">
        <v>116</v>
      </c>
      <c r="D17" s="18" t="s">
        <v>117</v>
      </c>
      <c r="E17" s="18" t="s">
        <v>118</v>
      </c>
      <c r="F17" s="18" t="s">
        <v>119</v>
      </c>
      <c r="H17">
        <v>1.21</v>
      </c>
    </row>
    <row r="18" spans="2:8" x14ac:dyDescent="0.3">
      <c r="B18" s="19" t="s">
        <v>113</v>
      </c>
      <c r="C18">
        <v>19.117999999999999</v>
      </c>
      <c r="D18">
        <v>26.462700000000002</v>
      </c>
      <c r="E18">
        <v>30.613</v>
      </c>
      <c r="F18">
        <v>23.353000000000002</v>
      </c>
    </row>
    <row r="19" spans="2:8" x14ac:dyDescent="0.3">
      <c r="B19" s="19" t="s">
        <v>114</v>
      </c>
      <c r="C19">
        <v>14.278</v>
      </c>
      <c r="D19">
        <v>22.748000000000001</v>
      </c>
      <c r="E19">
        <v>24.442</v>
      </c>
      <c r="F19">
        <v>24.562999999999999</v>
      </c>
    </row>
    <row r="20" spans="2:8" x14ac:dyDescent="0.3">
      <c r="B20" s="19" t="s">
        <v>115</v>
      </c>
      <c r="C20">
        <v>31.823</v>
      </c>
      <c r="D20">
        <v>26.861999999999998</v>
      </c>
      <c r="E20">
        <v>22.021999999999998</v>
      </c>
      <c r="F20">
        <v>20.884600000000002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FFFF00"/>
  </sheetPr>
  <dimension ref="A1:V101"/>
  <sheetViews>
    <sheetView topLeftCell="A97" workbookViewId="0">
      <selection activeCell="N1" sqref="N1"/>
    </sheetView>
  </sheetViews>
  <sheetFormatPr defaultColWidth="9.109375" defaultRowHeight="14.4" x14ac:dyDescent="0.3"/>
  <cols>
    <col min="1" max="1" width="15.6640625" style="24" customWidth="1"/>
    <col min="2" max="2" width="12.5546875" style="24" customWidth="1"/>
    <col min="3" max="4" width="12.6640625" style="24" customWidth="1"/>
    <col min="5" max="5" width="20.6640625" style="24" customWidth="1"/>
    <col min="6" max="22" width="15.6640625" style="24" customWidth="1"/>
    <col min="23" max="16384" width="9.109375" style="24"/>
  </cols>
  <sheetData>
    <row r="1" spans="1:22" x14ac:dyDescent="0.3">
      <c r="A1" s="22" t="s">
        <v>0</v>
      </c>
      <c r="B1" s="23" t="s">
        <v>1</v>
      </c>
      <c r="C1" s="23" t="s">
        <v>2</v>
      </c>
      <c r="D1" s="23" t="s">
        <v>3</v>
      </c>
      <c r="E1" s="22" t="s">
        <v>4</v>
      </c>
      <c r="F1" s="23" t="s">
        <v>5</v>
      </c>
      <c r="G1" s="23" t="s">
        <v>5</v>
      </c>
      <c r="H1" s="23" t="s">
        <v>5</v>
      </c>
      <c r="I1" s="23" t="s">
        <v>5</v>
      </c>
      <c r="J1" s="23" t="s">
        <v>5</v>
      </c>
      <c r="K1" s="23" t="s">
        <v>5</v>
      </c>
      <c r="L1" s="23" t="s">
        <v>6</v>
      </c>
      <c r="N1" s="182" t="s">
        <v>1148</v>
      </c>
    </row>
    <row r="2" spans="1:22" x14ac:dyDescent="0.3">
      <c r="A2" s="24" t="s">
        <v>7</v>
      </c>
      <c r="B2" s="25">
        <v>23675</v>
      </c>
      <c r="C2" s="24">
        <v>366605</v>
      </c>
      <c r="D2" s="26">
        <v>129935</v>
      </c>
      <c r="E2" s="24" t="s">
        <v>8</v>
      </c>
      <c r="F2" s="26">
        <f ca="1">YEAR(NOW())-YEAR(B2)</f>
        <v>59</v>
      </c>
      <c r="G2" s="27">
        <f ca="1">VALUE(F2)</f>
        <v>59</v>
      </c>
      <c r="H2" s="164">
        <f ca="1">YEARFRAC(B2,TODAY())</f>
        <v>58.286111111111111</v>
      </c>
      <c r="I2" s="164">
        <f ca="1">(TODAY()-B2)/365.25</f>
        <v>58.288843258042434</v>
      </c>
      <c r="J2" s="164">
        <f ca="1">_xlfn.DAYS(TODAY(),B2)/365.25</f>
        <v>58.288843258042434</v>
      </c>
      <c r="K2" s="27">
        <f ca="1">YEAR(NOW())-1964</f>
        <v>59</v>
      </c>
    </row>
    <row r="3" spans="1:22" x14ac:dyDescent="0.3">
      <c r="A3" s="24" t="s">
        <v>9</v>
      </c>
      <c r="B3" s="25">
        <v>31249</v>
      </c>
      <c r="C3" s="24">
        <v>569913</v>
      </c>
      <c r="D3" s="26">
        <v>186308</v>
      </c>
      <c r="E3" s="24" t="s">
        <v>10</v>
      </c>
      <c r="F3" s="26">
        <f t="shared" ref="F3:F66" ca="1" si="0">YEAR(NOW())-YEAR(B3)</f>
        <v>38</v>
      </c>
      <c r="G3" s="27">
        <f t="shared" ref="G3:G66" ca="1" si="1">VALUE(F3)</f>
        <v>38</v>
      </c>
      <c r="H3" s="164">
        <f t="shared" ref="H3:H66" ca="1" si="2">YEARFRAC(B3,TODAY())</f>
        <v>37.547222222222224</v>
      </c>
      <c r="I3" s="164">
        <f t="shared" ref="I3:I66" ca="1" si="3">(TODAY()-B3)/365.25</f>
        <v>37.552361396303901</v>
      </c>
      <c r="J3" s="164">
        <f t="shared" ref="J3:J66" ca="1" si="4">_xlfn.DAYS(TODAY(),B3)/365.25</f>
        <v>37.552361396303901</v>
      </c>
      <c r="K3" s="27">
        <f t="shared" ref="K3:K66" ca="1" si="5">YEAR(NOW())-1964</f>
        <v>59</v>
      </c>
      <c r="M3" s="25">
        <v>23376</v>
      </c>
      <c r="N3" s="161">
        <v>59901</v>
      </c>
      <c r="O3" s="27"/>
      <c r="P3" s="27"/>
      <c r="Q3" s="27"/>
      <c r="R3" s="27"/>
      <c r="S3" s="27"/>
      <c r="T3" s="27"/>
      <c r="U3" s="27"/>
      <c r="V3" s="27"/>
    </row>
    <row r="4" spans="1:22" x14ac:dyDescent="0.3">
      <c r="A4" s="24" t="s">
        <v>11</v>
      </c>
      <c r="B4" s="25">
        <v>30073</v>
      </c>
      <c r="C4" s="24">
        <v>343060</v>
      </c>
      <c r="D4" s="26">
        <v>111632</v>
      </c>
      <c r="E4" s="24" t="s">
        <v>10</v>
      </c>
      <c r="F4" s="26">
        <f t="shared" ca="1" si="0"/>
        <v>41</v>
      </c>
      <c r="G4" s="27">
        <f t="shared" ca="1" si="1"/>
        <v>41</v>
      </c>
      <c r="H4" s="164">
        <f t="shared" ca="1" si="2"/>
        <v>40.766666666666666</v>
      </c>
      <c r="I4" s="164">
        <f t="shared" ca="1" si="3"/>
        <v>40.772073921971256</v>
      </c>
      <c r="J4" s="164">
        <f t="shared" ca="1" si="4"/>
        <v>40.772073921971256</v>
      </c>
      <c r="K4" s="27">
        <f t="shared" ca="1" si="5"/>
        <v>59</v>
      </c>
      <c r="N4" s="27">
        <f>YEARFRAC(M3,N3)</f>
        <v>100</v>
      </c>
      <c r="O4" s="27"/>
      <c r="P4" s="27"/>
      <c r="Q4" s="27"/>
      <c r="R4" s="27"/>
      <c r="S4" s="27"/>
      <c r="T4" s="27"/>
      <c r="U4" s="27"/>
      <c r="V4" s="27"/>
    </row>
    <row r="5" spans="1:22" x14ac:dyDescent="0.3">
      <c r="A5" s="24" t="s">
        <v>12</v>
      </c>
      <c r="B5" s="25">
        <v>22707</v>
      </c>
      <c r="C5" s="24">
        <v>388158</v>
      </c>
      <c r="D5" s="26">
        <v>59190</v>
      </c>
      <c r="E5" s="24" t="s">
        <v>13</v>
      </c>
      <c r="F5" s="26">
        <f t="shared" ca="1" si="0"/>
        <v>61</v>
      </c>
      <c r="G5" s="27">
        <f t="shared" ca="1" si="1"/>
        <v>61</v>
      </c>
      <c r="H5" s="164">
        <f t="shared" ca="1" si="2"/>
        <v>60.93333333333333</v>
      </c>
      <c r="I5" s="164">
        <f t="shared" ca="1" si="3"/>
        <v>60.939082819986311</v>
      </c>
      <c r="J5" s="164">
        <f t="shared" ca="1" si="4"/>
        <v>60.939082819986311</v>
      </c>
      <c r="K5" s="27">
        <f t="shared" ca="1" si="5"/>
        <v>59</v>
      </c>
      <c r="N5" s="27">
        <f>(N3-M3)/365.25</f>
        <v>100</v>
      </c>
      <c r="O5" s="27"/>
      <c r="P5" s="27"/>
      <c r="Q5" s="27"/>
      <c r="R5" s="27"/>
      <c r="S5" s="27"/>
      <c r="T5" s="27"/>
      <c r="U5" s="27"/>
      <c r="V5" s="27"/>
    </row>
    <row r="6" spans="1:22" x14ac:dyDescent="0.3">
      <c r="A6" s="24" t="s">
        <v>14</v>
      </c>
      <c r="B6" s="25">
        <v>23292</v>
      </c>
      <c r="C6" s="24">
        <v>381410</v>
      </c>
      <c r="D6" s="26">
        <v>68921</v>
      </c>
      <c r="E6" s="24" t="s">
        <v>15</v>
      </c>
      <c r="F6" s="26">
        <f t="shared" ca="1" si="0"/>
        <v>60</v>
      </c>
      <c r="G6" s="27">
        <f t="shared" ca="1" si="1"/>
        <v>60</v>
      </c>
      <c r="H6" s="164">
        <f t="shared" ca="1" si="2"/>
        <v>59.333333333333336</v>
      </c>
      <c r="I6" s="164">
        <f t="shared" ca="1" si="3"/>
        <v>59.337440109514034</v>
      </c>
      <c r="J6" s="164">
        <f t="shared" ca="1" si="4"/>
        <v>59.337440109514034</v>
      </c>
      <c r="K6" s="27">
        <f t="shared" ca="1" si="5"/>
        <v>59</v>
      </c>
      <c r="M6" s="27"/>
      <c r="N6" s="162">
        <f>_xlfn.DAYS(N3,M3)/365.25</f>
        <v>100</v>
      </c>
      <c r="O6" s="27"/>
      <c r="P6" s="27"/>
      <c r="Q6" s="27"/>
      <c r="R6" s="27"/>
      <c r="S6" s="27"/>
      <c r="T6" s="27"/>
      <c r="U6" s="27"/>
      <c r="V6" s="27"/>
    </row>
    <row r="7" spans="1:22" x14ac:dyDescent="0.3">
      <c r="A7" s="24" t="s">
        <v>16</v>
      </c>
      <c r="B7" s="25">
        <v>33992</v>
      </c>
      <c r="C7" s="24">
        <v>443965</v>
      </c>
      <c r="D7" s="26">
        <v>114764</v>
      </c>
      <c r="E7" s="24" t="s">
        <v>17</v>
      </c>
      <c r="F7" s="26">
        <f t="shared" ca="1" si="0"/>
        <v>30</v>
      </c>
      <c r="G7" s="27">
        <f t="shared" ca="1" si="1"/>
        <v>30</v>
      </c>
      <c r="H7" s="164">
        <f t="shared" ca="1" si="2"/>
        <v>30.041666666666668</v>
      </c>
      <c r="I7" s="164">
        <f t="shared" ca="1" si="3"/>
        <v>30.042436687200549</v>
      </c>
      <c r="J7" s="164">
        <f t="shared" ca="1" si="4"/>
        <v>30.042436687200549</v>
      </c>
      <c r="K7" s="27">
        <f t="shared" ca="1" si="5"/>
        <v>59</v>
      </c>
      <c r="M7" s="27"/>
      <c r="N7" s="161">
        <f ca="1">EDATE(TODAY(),-1)</f>
        <v>44934</v>
      </c>
      <c r="O7" s="27"/>
      <c r="P7" s="27"/>
      <c r="Q7" s="27"/>
      <c r="R7" s="27"/>
      <c r="S7" s="27"/>
      <c r="T7" s="27"/>
      <c r="U7" s="27"/>
      <c r="V7" s="27"/>
    </row>
    <row r="8" spans="1:22" x14ac:dyDescent="0.3">
      <c r="A8" s="24" t="s">
        <v>18</v>
      </c>
      <c r="B8" s="25">
        <v>27926</v>
      </c>
      <c r="C8" s="24">
        <v>402156</v>
      </c>
      <c r="D8" s="26">
        <v>66375</v>
      </c>
      <c r="E8" s="24" t="s">
        <v>13</v>
      </c>
      <c r="F8" s="26">
        <f t="shared" ca="1" si="0"/>
        <v>47</v>
      </c>
      <c r="G8" s="27">
        <f t="shared" ca="1" si="1"/>
        <v>47</v>
      </c>
      <c r="H8" s="164">
        <f t="shared" ca="1" si="2"/>
        <v>46.647222222222226</v>
      </c>
      <c r="I8" s="164">
        <f t="shared" ca="1" si="3"/>
        <v>46.650239561943877</v>
      </c>
      <c r="J8" s="164">
        <f t="shared" ca="1" si="4"/>
        <v>46.650239561943877</v>
      </c>
      <c r="K8" s="27">
        <f t="shared" ca="1" si="5"/>
        <v>59</v>
      </c>
      <c r="O8" s="27"/>
      <c r="P8" s="27"/>
      <c r="Q8" s="27"/>
      <c r="R8" s="27"/>
      <c r="S8" s="27"/>
      <c r="T8" s="27"/>
      <c r="U8" s="27"/>
      <c r="V8" s="27"/>
    </row>
    <row r="9" spans="1:22" x14ac:dyDescent="0.3">
      <c r="A9" s="24" t="s">
        <v>19</v>
      </c>
      <c r="B9" s="25">
        <v>27442</v>
      </c>
      <c r="C9" s="24">
        <v>326454</v>
      </c>
      <c r="D9" s="26">
        <v>74802</v>
      </c>
      <c r="E9" s="24" t="s">
        <v>13</v>
      </c>
      <c r="F9" s="26">
        <f t="shared" ca="1" si="0"/>
        <v>48</v>
      </c>
      <c r="G9" s="27">
        <f t="shared" ca="1" si="1"/>
        <v>48</v>
      </c>
      <c r="H9" s="164">
        <f t="shared" ca="1" si="2"/>
        <v>47.975000000000001</v>
      </c>
      <c r="I9" s="164">
        <f t="shared" ca="1" si="3"/>
        <v>47.975359342915809</v>
      </c>
      <c r="J9" s="164">
        <f t="shared" ca="1" si="4"/>
        <v>47.975359342915809</v>
      </c>
      <c r="K9" s="27">
        <f t="shared" ca="1" si="5"/>
        <v>59</v>
      </c>
      <c r="M9" s="27"/>
      <c r="N9" s="165"/>
      <c r="O9" s="27"/>
      <c r="P9" s="27"/>
      <c r="Q9" s="27"/>
      <c r="R9" s="27"/>
      <c r="S9" s="27"/>
      <c r="T9" s="27"/>
      <c r="U9" s="27"/>
      <c r="V9" s="27"/>
    </row>
    <row r="10" spans="1:22" x14ac:dyDescent="0.3">
      <c r="A10" s="24" t="s">
        <v>20</v>
      </c>
      <c r="B10" s="25">
        <v>29563</v>
      </c>
      <c r="C10" s="24">
        <v>333631</v>
      </c>
      <c r="D10" s="26">
        <v>155749</v>
      </c>
      <c r="E10" s="24" t="s">
        <v>10</v>
      </c>
      <c r="F10" s="26">
        <f t="shared" ca="1" si="0"/>
        <v>43</v>
      </c>
      <c r="G10" s="27">
        <f t="shared" ca="1" si="1"/>
        <v>43</v>
      </c>
      <c r="H10" s="164">
        <f t="shared" ca="1" si="2"/>
        <v>42.166666666666664</v>
      </c>
      <c r="I10" s="164">
        <f t="shared" ca="1" si="3"/>
        <v>42.168377823408626</v>
      </c>
      <c r="J10" s="164">
        <f t="shared" ca="1" si="4"/>
        <v>42.168377823408626</v>
      </c>
      <c r="K10" s="27">
        <f t="shared" ca="1" si="5"/>
        <v>59</v>
      </c>
      <c r="M10" s="27"/>
      <c r="O10" s="27"/>
      <c r="P10" s="27"/>
      <c r="Q10" s="27"/>
      <c r="R10" s="27"/>
      <c r="S10" s="27"/>
      <c r="T10" s="27"/>
      <c r="U10" s="27"/>
      <c r="V10" s="27"/>
    </row>
    <row r="11" spans="1:22" x14ac:dyDescent="0.3">
      <c r="A11" s="24" t="s">
        <v>21</v>
      </c>
      <c r="B11" s="25">
        <v>33009</v>
      </c>
      <c r="C11" s="24">
        <v>374691</v>
      </c>
      <c r="D11" s="26">
        <v>90654</v>
      </c>
      <c r="E11" s="24" t="s">
        <v>10</v>
      </c>
      <c r="F11" s="26">
        <f t="shared" ca="1" si="0"/>
        <v>33</v>
      </c>
      <c r="G11" s="27">
        <f t="shared" ca="1" si="1"/>
        <v>33</v>
      </c>
      <c r="H11" s="164">
        <f t="shared" ca="1" si="2"/>
        <v>32.727777777777774</v>
      </c>
      <c r="I11" s="164">
        <f t="shared" ca="1" si="3"/>
        <v>32.733744010951405</v>
      </c>
      <c r="J11" s="164">
        <f t="shared" ca="1" si="4"/>
        <v>32.733744010951405</v>
      </c>
      <c r="K11" s="27">
        <f t="shared" ca="1" si="5"/>
        <v>59</v>
      </c>
      <c r="M11" s="27"/>
      <c r="O11" s="27"/>
      <c r="P11" s="27"/>
      <c r="Q11" s="27"/>
      <c r="R11" s="27"/>
      <c r="S11" s="27"/>
      <c r="T11" s="27"/>
      <c r="U11" s="27"/>
      <c r="V11" s="27"/>
    </row>
    <row r="12" spans="1:22" x14ac:dyDescent="0.3">
      <c r="A12" s="24" t="s">
        <v>22</v>
      </c>
      <c r="B12" s="25">
        <v>31468</v>
      </c>
      <c r="C12" s="24">
        <v>278110</v>
      </c>
      <c r="D12" s="26">
        <v>85329</v>
      </c>
      <c r="E12" s="24" t="s">
        <v>17</v>
      </c>
      <c r="F12" s="26">
        <f t="shared" ca="1" si="0"/>
        <v>37</v>
      </c>
      <c r="G12" s="27">
        <f t="shared" ca="1" si="1"/>
        <v>37</v>
      </c>
      <c r="H12" s="164">
        <f t="shared" ca="1" si="2"/>
        <v>36.952777777777776</v>
      </c>
      <c r="I12" s="164">
        <f t="shared" ca="1" si="3"/>
        <v>36.95277207392197</v>
      </c>
      <c r="J12" s="164">
        <f t="shared" ca="1" si="4"/>
        <v>36.95277207392197</v>
      </c>
      <c r="K12" s="27">
        <f t="shared" ca="1" si="5"/>
        <v>59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x14ac:dyDescent="0.3">
      <c r="A13" s="24" t="s">
        <v>23</v>
      </c>
      <c r="B13" s="25">
        <v>34068</v>
      </c>
      <c r="C13" s="24">
        <v>442974</v>
      </c>
      <c r="D13" s="26">
        <v>25668</v>
      </c>
      <c r="E13" s="24" t="s">
        <v>17</v>
      </c>
      <c r="F13" s="26">
        <f t="shared" ca="1" si="0"/>
        <v>30</v>
      </c>
      <c r="G13" s="27">
        <f t="shared" ca="1" si="1"/>
        <v>30</v>
      </c>
      <c r="H13" s="164">
        <f t="shared" ca="1" si="2"/>
        <v>29.830555555555556</v>
      </c>
      <c r="I13" s="164">
        <f t="shared" ca="1" si="3"/>
        <v>29.834360027378509</v>
      </c>
      <c r="J13" s="164">
        <f t="shared" ca="1" si="4"/>
        <v>29.834360027378509</v>
      </c>
      <c r="K13" s="27">
        <f t="shared" ca="1" si="5"/>
        <v>59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x14ac:dyDescent="0.3">
      <c r="A14" s="24" t="s">
        <v>24</v>
      </c>
      <c r="B14" s="25">
        <v>27237</v>
      </c>
      <c r="C14" s="24">
        <v>518932</v>
      </c>
      <c r="D14" s="26">
        <v>53512</v>
      </c>
      <c r="E14" s="24" t="s">
        <v>15</v>
      </c>
      <c r="F14" s="26">
        <f t="shared" ca="1" si="0"/>
        <v>49</v>
      </c>
      <c r="G14" s="27">
        <f t="shared" ca="1" si="1"/>
        <v>49</v>
      </c>
      <c r="H14" s="164">
        <f t="shared" ca="1" si="2"/>
        <v>48.530555555555559</v>
      </c>
      <c r="I14" s="164">
        <f t="shared" ca="1" si="3"/>
        <v>48.536618754277889</v>
      </c>
      <c r="J14" s="164">
        <f t="shared" ca="1" si="4"/>
        <v>48.536618754277889</v>
      </c>
      <c r="K14" s="27">
        <f t="shared" ca="1" si="5"/>
        <v>59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x14ac:dyDescent="0.3">
      <c r="A15" s="24" t="s">
        <v>25</v>
      </c>
      <c r="B15" s="25">
        <v>28961</v>
      </c>
      <c r="C15" s="24">
        <v>436695</v>
      </c>
      <c r="D15" s="26">
        <v>33786</v>
      </c>
      <c r="E15" s="24" t="s">
        <v>8</v>
      </c>
      <c r="F15" s="26">
        <f t="shared" ca="1" si="0"/>
        <v>44</v>
      </c>
      <c r="G15" s="27">
        <f t="shared" ca="1" si="1"/>
        <v>44</v>
      </c>
      <c r="H15" s="164">
        <f t="shared" ca="1" si="2"/>
        <v>43.81111111111111</v>
      </c>
      <c r="I15" s="164">
        <f t="shared" ca="1" si="3"/>
        <v>43.816563997262151</v>
      </c>
      <c r="J15" s="164">
        <f t="shared" ca="1" si="4"/>
        <v>43.816563997262151</v>
      </c>
      <c r="K15" s="27">
        <f t="shared" ca="1" si="5"/>
        <v>59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x14ac:dyDescent="0.3">
      <c r="A16" s="24" t="s">
        <v>26</v>
      </c>
      <c r="B16" s="25">
        <v>20713</v>
      </c>
      <c r="C16" s="24">
        <v>311878</v>
      </c>
      <c r="D16" s="26">
        <v>50629</v>
      </c>
      <c r="E16" s="24" t="s">
        <v>15</v>
      </c>
      <c r="F16" s="26">
        <f t="shared" ca="1" si="0"/>
        <v>67</v>
      </c>
      <c r="G16" s="27">
        <f t="shared" ca="1" si="1"/>
        <v>67</v>
      </c>
      <c r="H16" s="164">
        <f t="shared" ca="1" si="2"/>
        <v>66.397222222222226</v>
      </c>
      <c r="I16" s="164">
        <f t="shared" ca="1" si="3"/>
        <v>66.398357289527723</v>
      </c>
      <c r="J16" s="164">
        <f t="shared" ca="1" si="4"/>
        <v>66.398357289527723</v>
      </c>
      <c r="K16" s="27">
        <f t="shared" ca="1" si="5"/>
        <v>59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x14ac:dyDescent="0.3">
      <c r="A17" s="24" t="s">
        <v>27</v>
      </c>
      <c r="B17" s="25">
        <v>34536</v>
      </c>
      <c r="C17" s="24">
        <v>449470</v>
      </c>
      <c r="D17" s="26">
        <v>52235</v>
      </c>
      <c r="E17" s="24" t="s">
        <v>15</v>
      </c>
      <c r="F17" s="26">
        <f t="shared" ca="1" si="0"/>
        <v>29</v>
      </c>
      <c r="G17" s="27">
        <f t="shared" ca="1" si="1"/>
        <v>29</v>
      </c>
      <c r="H17" s="164">
        <f t="shared" ca="1" si="2"/>
        <v>28.547222222222221</v>
      </c>
      <c r="I17" s="164">
        <f t="shared" ca="1" si="3"/>
        <v>28.553045859000683</v>
      </c>
      <c r="J17" s="164">
        <f t="shared" ca="1" si="4"/>
        <v>28.553045859000683</v>
      </c>
      <c r="K17" s="27">
        <f t="shared" ca="1" si="5"/>
        <v>59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x14ac:dyDescent="0.3">
      <c r="A18" s="24" t="s">
        <v>28</v>
      </c>
      <c r="B18" s="25">
        <v>32473</v>
      </c>
      <c r="C18" s="24">
        <v>479423</v>
      </c>
      <c r="D18" s="26">
        <v>166224</v>
      </c>
      <c r="E18" s="24" t="s">
        <v>15</v>
      </c>
      <c r="F18" s="26">
        <f t="shared" ca="1" si="0"/>
        <v>35</v>
      </c>
      <c r="G18" s="27">
        <f t="shared" ca="1" si="1"/>
        <v>35</v>
      </c>
      <c r="H18" s="164">
        <f t="shared" ca="1" si="2"/>
        <v>34.200000000000003</v>
      </c>
      <c r="I18" s="164">
        <f t="shared" ca="1" si="3"/>
        <v>34.201232032854207</v>
      </c>
      <c r="J18" s="164">
        <f t="shared" ca="1" si="4"/>
        <v>34.201232032854207</v>
      </c>
      <c r="K18" s="27">
        <f t="shared" ca="1" si="5"/>
        <v>59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x14ac:dyDescent="0.3">
      <c r="A19" s="24" t="s">
        <v>29</v>
      </c>
      <c r="B19" s="25">
        <v>22201</v>
      </c>
      <c r="C19" s="24">
        <v>342386</v>
      </c>
      <c r="D19" s="26">
        <v>144909</v>
      </c>
      <c r="E19" s="24" t="s">
        <v>17</v>
      </c>
      <c r="F19" s="26">
        <f t="shared" ca="1" si="0"/>
        <v>63</v>
      </c>
      <c r="G19" s="27">
        <f t="shared" ca="1" si="1"/>
        <v>63</v>
      </c>
      <c r="H19" s="164">
        <f t="shared" ca="1" si="2"/>
        <v>62.322222222222223</v>
      </c>
      <c r="I19" s="164">
        <f t="shared" ca="1" si="3"/>
        <v>62.324435318275157</v>
      </c>
      <c r="J19" s="164">
        <f t="shared" ca="1" si="4"/>
        <v>62.324435318275157</v>
      </c>
      <c r="K19" s="27">
        <f t="shared" ca="1" si="5"/>
        <v>59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x14ac:dyDescent="0.3">
      <c r="A20" s="24" t="s">
        <v>30</v>
      </c>
      <c r="B20" s="25">
        <v>20820</v>
      </c>
      <c r="C20" s="24">
        <v>587995</v>
      </c>
      <c r="D20" s="26">
        <v>96094</v>
      </c>
      <c r="E20" s="24" t="s">
        <v>10</v>
      </c>
      <c r="F20" s="26">
        <f t="shared" ca="1" si="0"/>
        <v>67</v>
      </c>
      <c r="G20" s="27">
        <f t="shared" ca="1" si="1"/>
        <v>67</v>
      </c>
      <c r="H20" s="164">
        <f t="shared" ca="1" si="2"/>
        <v>66.105555555555554</v>
      </c>
      <c r="I20" s="164">
        <f t="shared" ca="1" si="3"/>
        <v>66.105407255304584</v>
      </c>
      <c r="J20" s="164">
        <f t="shared" ca="1" si="4"/>
        <v>66.105407255304584</v>
      </c>
      <c r="K20" s="27">
        <f t="shared" ca="1" si="5"/>
        <v>59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x14ac:dyDescent="0.3">
      <c r="A21" s="24" t="s">
        <v>31</v>
      </c>
      <c r="B21" s="25">
        <v>20374</v>
      </c>
      <c r="C21" s="24">
        <v>689017</v>
      </c>
      <c r="D21" s="26">
        <v>212428</v>
      </c>
      <c r="E21" s="24" t="s">
        <v>10</v>
      </c>
      <c r="F21" s="26">
        <f t="shared" ca="1" si="0"/>
        <v>68</v>
      </c>
      <c r="G21" s="27">
        <f t="shared" ca="1" si="1"/>
        <v>68</v>
      </c>
      <c r="H21" s="164">
        <f t="shared" ca="1" si="2"/>
        <v>67.322222222222223</v>
      </c>
      <c r="I21" s="164">
        <f t="shared" ca="1" si="3"/>
        <v>67.32648870636551</v>
      </c>
      <c r="J21" s="164">
        <f t="shared" ca="1" si="4"/>
        <v>67.32648870636551</v>
      </c>
      <c r="K21" s="27">
        <f t="shared" ca="1" si="5"/>
        <v>59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x14ac:dyDescent="0.3">
      <c r="A22" s="24" t="s">
        <v>32</v>
      </c>
      <c r="B22" s="25">
        <v>26900</v>
      </c>
      <c r="C22" s="24">
        <v>380780</v>
      </c>
      <c r="D22" s="26">
        <v>66245</v>
      </c>
      <c r="E22" s="24" t="s">
        <v>8</v>
      </c>
      <c r="F22" s="26">
        <f t="shared" ca="1" si="0"/>
        <v>50</v>
      </c>
      <c r="G22" s="27">
        <f t="shared" ca="1" si="1"/>
        <v>50</v>
      </c>
      <c r="H22" s="164">
        <f t="shared" ca="1" si="2"/>
        <v>49.455555555555556</v>
      </c>
      <c r="I22" s="164">
        <f t="shared" ca="1" si="3"/>
        <v>49.459274469541413</v>
      </c>
      <c r="J22" s="164">
        <f t="shared" ca="1" si="4"/>
        <v>49.459274469541413</v>
      </c>
      <c r="K22" s="27">
        <f t="shared" ca="1" si="5"/>
        <v>59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x14ac:dyDescent="0.3">
      <c r="A23" s="24" t="s">
        <v>33</v>
      </c>
      <c r="B23" s="25">
        <v>34075</v>
      </c>
      <c r="C23" s="24">
        <v>347609</v>
      </c>
      <c r="D23" s="26">
        <v>90642</v>
      </c>
      <c r="E23" s="24" t="s">
        <v>17</v>
      </c>
      <c r="F23" s="26">
        <f t="shared" ca="1" si="0"/>
        <v>30</v>
      </c>
      <c r="G23" s="27">
        <f t="shared" ca="1" si="1"/>
        <v>30</v>
      </c>
      <c r="H23" s="164">
        <f t="shared" ca="1" si="2"/>
        <v>29.81111111111111</v>
      </c>
      <c r="I23" s="164">
        <f t="shared" ca="1" si="3"/>
        <v>29.815195071868583</v>
      </c>
      <c r="J23" s="164">
        <f t="shared" ca="1" si="4"/>
        <v>29.815195071868583</v>
      </c>
      <c r="K23" s="27">
        <f t="shared" ca="1" si="5"/>
        <v>59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x14ac:dyDescent="0.3">
      <c r="A24" s="24" t="s">
        <v>34</v>
      </c>
      <c r="B24" s="25">
        <v>25378</v>
      </c>
      <c r="C24" s="24">
        <v>426640</v>
      </c>
      <c r="D24" s="26">
        <v>160538</v>
      </c>
      <c r="E24" s="24" t="s">
        <v>17</v>
      </c>
      <c r="F24" s="26">
        <f t="shared" ca="1" si="0"/>
        <v>54</v>
      </c>
      <c r="G24" s="27">
        <f t="shared" ca="1" si="1"/>
        <v>54</v>
      </c>
      <c r="H24" s="164">
        <f t="shared" ca="1" si="2"/>
        <v>53.62222222222222</v>
      </c>
      <c r="I24" s="164">
        <f t="shared" ca="1" si="3"/>
        <v>53.626283367556468</v>
      </c>
      <c r="J24" s="164">
        <f t="shared" ca="1" si="4"/>
        <v>53.626283367556468</v>
      </c>
      <c r="K24" s="27">
        <f t="shared" ca="1" si="5"/>
        <v>59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x14ac:dyDescent="0.3">
      <c r="A25" s="24" t="s">
        <v>35</v>
      </c>
      <c r="B25" s="25">
        <v>25890</v>
      </c>
      <c r="C25" s="24">
        <v>541834</v>
      </c>
      <c r="D25" s="26">
        <v>42419</v>
      </c>
      <c r="E25" s="24" t="s">
        <v>8</v>
      </c>
      <c r="F25" s="26">
        <f t="shared" ca="1" si="0"/>
        <v>53</v>
      </c>
      <c r="G25" s="27">
        <f t="shared" ca="1" si="1"/>
        <v>53</v>
      </c>
      <c r="H25" s="164">
        <f t="shared" ca="1" si="2"/>
        <v>52.222222222222221</v>
      </c>
      <c r="I25" s="164">
        <f t="shared" ca="1" si="3"/>
        <v>52.224503764544835</v>
      </c>
      <c r="J25" s="164">
        <f t="shared" ca="1" si="4"/>
        <v>52.224503764544835</v>
      </c>
      <c r="K25" s="27">
        <f t="shared" ca="1" si="5"/>
        <v>59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x14ac:dyDescent="0.3">
      <c r="A26" s="24" t="s">
        <v>36</v>
      </c>
      <c r="B26" s="25">
        <v>31635</v>
      </c>
      <c r="C26" s="24">
        <v>343189</v>
      </c>
      <c r="D26" s="26">
        <v>134070</v>
      </c>
      <c r="E26" s="24" t="s">
        <v>15</v>
      </c>
      <c r="F26" s="26">
        <f t="shared" ca="1" si="0"/>
        <v>37</v>
      </c>
      <c r="G26" s="27">
        <f t="shared" ca="1" si="1"/>
        <v>37</v>
      </c>
      <c r="H26" s="164">
        <f t="shared" ca="1" si="2"/>
        <v>36.491666666666667</v>
      </c>
      <c r="I26" s="164">
        <f t="shared" ca="1" si="3"/>
        <v>36.495550992470911</v>
      </c>
      <c r="J26" s="164">
        <f t="shared" ca="1" si="4"/>
        <v>36.495550992470911</v>
      </c>
      <c r="K26" s="27">
        <f t="shared" ca="1" si="5"/>
        <v>59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x14ac:dyDescent="0.3">
      <c r="A27" s="24" t="s">
        <v>37</v>
      </c>
      <c r="B27" s="25">
        <v>33881</v>
      </c>
      <c r="C27" s="24">
        <v>262016</v>
      </c>
      <c r="D27" s="26">
        <v>33930</v>
      </c>
      <c r="E27" s="24" t="s">
        <v>10</v>
      </c>
      <c r="F27" s="26">
        <f t="shared" ca="1" si="0"/>
        <v>31</v>
      </c>
      <c r="G27" s="27">
        <f t="shared" ca="1" si="1"/>
        <v>31</v>
      </c>
      <c r="H27" s="164">
        <f t="shared" ca="1" si="2"/>
        <v>30.344444444444445</v>
      </c>
      <c r="I27" s="164">
        <f t="shared" ca="1" si="3"/>
        <v>30.34633812457221</v>
      </c>
      <c r="J27" s="164">
        <f t="shared" ca="1" si="4"/>
        <v>30.34633812457221</v>
      </c>
      <c r="K27" s="27">
        <f t="shared" ca="1" si="5"/>
        <v>59</v>
      </c>
    </row>
    <row r="28" spans="1:22" x14ac:dyDescent="0.3">
      <c r="A28" s="24" t="s">
        <v>38</v>
      </c>
      <c r="B28" s="25">
        <v>25529</v>
      </c>
      <c r="C28" s="24">
        <v>297970</v>
      </c>
      <c r="D28" s="26">
        <v>130493</v>
      </c>
      <c r="E28" s="24" t="s">
        <v>17</v>
      </c>
      <c r="F28" s="26">
        <f t="shared" ca="1" si="0"/>
        <v>54</v>
      </c>
      <c r="G28" s="27">
        <f t="shared" ca="1" si="1"/>
        <v>54</v>
      </c>
      <c r="H28" s="164">
        <f t="shared" ca="1" si="2"/>
        <v>53.211111111111109</v>
      </c>
      <c r="I28" s="164">
        <f t="shared" ca="1" si="3"/>
        <v>53.212867898699521</v>
      </c>
      <c r="J28" s="164">
        <f t="shared" ca="1" si="4"/>
        <v>53.212867898699521</v>
      </c>
      <c r="K28" s="27">
        <f t="shared" ca="1" si="5"/>
        <v>59</v>
      </c>
    </row>
    <row r="29" spans="1:22" x14ac:dyDescent="0.3">
      <c r="A29" s="24" t="s">
        <v>39</v>
      </c>
      <c r="B29" s="25">
        <v>21327</v>
      </c>
      <c r="C29" s="24">
        <v>539732</v>
      </c>
      <c r="D29" s="26">
        <v>106500</v>
      </c>
      <c r="E29" s="24" t="s">
        <v>15</v>
      </c>
      <c r="F29" s="26">
        <f t="shared" ca="1" si="0"/>
        <v>65</v>
      </c>
      <c r="G29" s="27">
        <f t="shared" ca="1" si="1"/>
        <v>65</v>
      </c>
      <c r="H29" s="164">
        <f t="shared" ca="1" si="2"/>
        <v>64.711111111111109</v>
      </c>
      <c r="I29" s="164">
        <f t="shared" ca="1" si="3"/>
        <v>64.717316906228604</v>
      </c>
      <c r="J29" s="164">
        <f t="shared" ca="1" si="4"/>
        <v>64.717316906228604</v>
      </c>
      <c r="K29" s="27">
        <f t="shared" ca="1" si="5"/>
        <v>59</v>
      </c>
    </row>
    <row r="30" spans="1:22" x14ac:dyDescent="0.3">
      <c r="A30" s="24" t="s">
        <v>40</v>
      </c>
      <c r="B30" s="25">
        <v>21509</v>
      </c>
      <c r="C30" s="24">
        <v>318624</v>
      </c>
      <c r="D30" s="26">
        <v>82665</v>
      </c>
      <c r="E30" s="24" t="s">
        <v>17</v>
      </c>
      <c r="F30" s="26">
        <f t="shared" ca="1" si="0"/>
        <v>65</v>
      </c>
      <c r="G30" s="27">
        <f t="shared" ca="1" si="1"/>
        <v>65</v>
      </c>
      <c r="H30" s="164">
        <f t="shared" ca="1" si="2"/>
        <v>64.216666666666669</v>
      </c>
      <c r="I30" s="164">
        <f t="shared" ca="1" si="3"/>
        <v>64.219028062970565</v>
      </c>
      <c r="J30" s="164">
        <f t="shared" ca="1" si="4"/>
        <v>64.219028062970565</v>
      </c>
      <c r="K30" s="27">
        <f t="shared" ca="1" si="5"/>
        <v>59</v>
      </c>
    </row>
    <row r="31" spans="1:22" x14ac:dyDescent="0.3">
      <c r="A31" s="24" t="s">
        <v>41</v>
      </c>
      <c r="B31" s="25">
        <v>31599</v>
      </c>
      <c r="C31" s="24">
        <v>486450</v>
      </c>
      <c r="D31" s="26">
        <v>27506</v>
      </c>
      <c r="E31" s="24" t="s">
        <v>13</v>
      </c>
      <c r="F31" s="26">
        <f t="shared" ca="1" si="0"/>
        <v>37</v>
      </c>
      <c r="G31" s="27">
        <f t="shared" ca="1" si="1"/>
        <v>37</v>
      </c>
      <c r="H31" s="164">
        <f t="shared" ca="1" si="2"/>
        <v>36.588888888888889</v>
      </c>
      <c r="I31" s="164">
        <f t="shared" ca="1" si="3"/>
        <v>36.594113620807668</v>
      </c>
      <c r="J31" s="164">
        <f t="shared" ca="1" si="4"/>
        <v>36.594113620807668</v>
      </c>
      <c r="K31" s="27">
        <f t="shared" ca="1" si="5"/>
        <v>59</v>
      </c>
    </row>
    <row r="32" spans="1:22" x14ac:dyDescent="0.3">
      <c r="A32" s="24" t="s">
        <v>42</v>
      </c>
      <c r="B32" s="25">
        <v>34271</v>
      </c>
      <c r="C32" s="24">
        <v>315602</v>
      </c>
      <c r="D32" s="26">
        <v>130199</v>
      </c>
      <c r="E32" s="24" t="s">
        <v>17</v>
      </c>
      <c r="F32" s="26">
        <f t="shared" ca="1" si="0"/>
        <v>30</v>
      </c>
      <c r="G32" s="27">
        <f t="shared" ca="1" si="1"/>
        <v>30</v>
      </c>
      <c r="H32" s="164">
        <f t="shared" ca="1" si="2"/>
        <v>29.274999999999999</v>
      </c>
      <c r="I32" s="164">
        <f t="shared" ca="1" si="3"/>
        <v>29.278576317590691</v>
      </c>
      <c r="J32" s="164">
        <f t="shared" ca="1" si="4"/>
        <v>29.278576317590691</v>
      </c>
      <c r="K32" s="27">
        <f t="shared" ca="1" si="5"/>
        <v>59</v>
      </c>
    </row>
    <row r="33" spans="1:11" x14ac:dyDescent="0.3">
      <c r="A33" s="24" t="s">
        <v>43</v>
      </c>
      <c r="B33" s="25">
        <v>20909</v>
      </c>
      <c r="C33" s="24">
        <v>278381</v>
      </c>
      <c r="D33" s="26">
        <v>123786</v>
      </c>
      <c r="E33" s="24" t="s">
        <v>17</v>
      </c>
      <c r="F33" s="26">
        <f t="shared" ca="1" si="0"/>
        <v>66</v>
      </c>
      <c r="G33" s="27">
        <f t="shared" ca="1" si="1"/>
        <v>66</v>
      </c>
      <c r="H33" s="164">
        <f t="shared" ca="1" si="2"/>
        <v>65.855555555555554</v>
      </c>
      <c r="I33" s="164">
        <f t="shared" ca="1" si="3"/>
        <v>65.861738535249827</v>
      </c>
      <c r="J33" s="164">
        <f t="shared" ca="1" si="4"/>
        <v>65.861738535249827</v>
      </c>
      <c r="K33" s="27">
        <f t="shared" ca="1" si="5"/>
        <v>59</v>
      </c>
    </row>
    <row r="34" spans="1:11" x14ac:dyDescent="0.3">
      <c r="A34" s="24" t="s">
        <v>44</v>
      </c>
      <c r="B34" s="25">
        <v>22427</v>
      </c>
      <c r="C34" s="24">
        <v>303276</v>
      </c>
      <c r="D34" s="26">
        <v>86499</v>
      </c>
      <c r="E34" s="24" t="s">
        <v>8</v>
      </c>
      <c r="F34" s="26">
        <f t="shared" ca="1" si="0"/>
        <v>62</v>
      </c>
      <c r="G34" s="27">
        <f t="shared" ca="1" si="1"/>
        <v>62</v>
      </c>
      <c r="H34" s="164">
        <f t="shared" ca="1" si="2"/>
        <v>61.7</v>
      </c>
      <c r="I34" s="164">
        <f t="shared" ca="1" si="3"/>
        <v>61.705681040383297</v>
      </c>
      <c r="J34" s="164">
        <f t="shared" ca="1" si="4"/>
        <v>61.705681040383297</v>
      </c>
      <c r="K34" s="27">
        <f t="shared" ca="1" si="5"/>
        <v>59</v>
      </c>
    </row>
    <row r="35" spans="1:11" x14ac:dyDescent="0.3">
      <c r="A35" s="24" t="s">
        <v>45</v>
      </c>
      <c r="B35" s="25">
        <v>33727</v>
      </c>
      <c r="C35" s="24">
        <v>512991</v>
      </c>
      <c r="D35" s="26">
        <v>114762</v>
      </c>
      <c r="E35" s="24" t="s">
        <v>17</v>
      </c>
      <c r="F35" s="26">
        <f t="shared" ca="1" si="0"/>
        <v>31</v>
      </c>
      <c r="G35" s="27">
        <f t="shared" ca="1" si="1"/>
        <v>31</v>
      </c>
      <c r="H35" s="164">
        <f t="shared" ca="1" si="2"/>
        <v>30.763888888888889</v>
      </c>
      <c r="I35" s="164">
        <f t="shared" ca="1" si="3"/>
        <v>30.767967145790553</v>
      </c>
      <c r="J35" s="164">
        <f t="shared" ca="1" si="4"/>
        <v>30.767967145790553</v>
      </c>
      <c r="K35" s="27">
        <f t="shared" ca="1" si="5"/>
        <v>59</v>
      </c>
    </row>
    <row r="36" spans="1:11" x14ac:dyDescent="0.3">
      <c r="A36" s="24" t="s">
        <v>46</v>
      </c>
      <c r="B36" s="25">
        <v>24445</v>
      </c>
      <c r="C36" s="24">
        <v>339942</v>
      </c>
      <c r="D36" s="26">
        <v>88310</v>
      </c>
      <c r="E36" s="24" t="s">
        <v>8</v>
      </c>
      <c r="F36" s="26">
        <f t="shared" ca="1" si="0"/>
        <v>57</v>
      </c>
      <c r="G36" s="27">
        <f t="shared" ca="1" si="1"/>
        <v>57</v>
      </c>
      <c r="H36" s="164">
        <f t="shared" ca="1" si="2"/>
        <v>56.177777777777777</v>
      </c>
      <c r="I36" s="164">
        <f t="shared" ca="1" si="3"/>
        <v>56.180698151950722</v>
      </c>
      <c r="J36" s="164">
        <f t="shared" ca="1" si="4"/>
        <v>56.180698151950722</v>
      </c>
      <c r="K36" s="27">
        <f t="shared" ca="1" si="5"/>
        <v>59</v>
      </c>
    </row>
    <row r="37" spans="1:11" x14ac:dyDescent="0.3">
      <c r="A37" s="24" t="s">
        <v>47</v>
      </c>
      <c r="B37" s="25">
        <v>20455</v>
      </c>
      <c r="C37" s="24">
        <v>474324</v>
      </c>
      <c r="D37" s="26">
        <v>100029</v>
      </c>
      <c r="E37" s="24" t="s">
        <v>8</v>
      </c>
      <c r="F37" s="26">
        <f t="shared" ca="1" si="0"/>
        <v>67</v>
      </c>
      <c r="G37" s="27">
        <f t="shared" ca="1" si="1"/>
        <v>67</v>
      </c>
      <c r="H37" s="164">
        <f t="shared" ca="1" si="2"/>
        <v>67.102777777777774</v>
      </c>
      <c r="I37" s="164">
        <f t="shared" ca="1" si="3"/>
        <v>67.104722792607802</v>
      </c>
      <c r="J37" s="164">
        <f t="shared" ca="1" si="4"/>
        <v>67.104722792607802</v>
      </c>
      <c r="K37" s="27">
        <f t="shared" ca="1" si="5"/>
        <v>59</v>
      </c>
    </row>
    <row r="38" spans="1:11" x14ac:dyDescent="0.3">
      <c r="A38" s="24" t="s">
        <v>48</v>
      </c>
      <c r="B38" s="25">
        <v>23157</v>
      </c>
      <c r="C38" s="24">
        <v>433871</v>
      </c>
      <c r="D38" s="26">
        <v>163810</v>
      </c>
      <c r="E38" s="24" t="s">
        <v>17</v>
      </c>
      <c r="F38" s="26">
        <f t="shared" ca="1" si="0"/>
        <v>60</v>
      </c>
      <c r="G38" s="27">
        <f t="shared" ca="1" si="1"/>
        <v>60</v>
      </c>
      <c r="H38" s="164">
        <f t="shared" ca="1" si="2"/>
        <v>59.7</v>
      </c>
      <c r="I38" s="164">
        <f t="shared" ca="1" si="3"/>
        <v>59.707049965776868</v>
      </c>
      <c r="J38" s="164">
        <f t="shared" ca="1" si="4"/>
        <v>59.707049965776868</v>
      </c>
      <c r="K38" s="27">
        <f t="shared" ca="1" si="5"/>
        <v>59</v>
      </c>
    </row>
    <row r="39" spans="1:11" x14ac:dyDescent="0.3">
      <c r="A39" s="24" t="s">
        <v>49</v>
      </c>
      <c r="B39" s="25">
        <v>27457</v>
      </c>
      <c r="C39" s="24">
        <v>344424</v>
      </c>
      <c r="D39" s="26">
        <v>168676</v>
      </c>
      <c r="E39" s="24" t="s">
        <v>8</v>
      </c>
      <c r="F39" s="26">
        <f t="shared" ca="1" si="0"/>
        <v>48</v>
      </c>
      <c r="G39" s="27">
        <f t="shared" ca="1" si="1"/>
        <v>48</v>
      </c>
      <c r="H39" s="164">
        <f t="shared" ca="1" si="2"/>
        <v>47.927777777777777</v>
      </c>
      <c r="I39" s="164">
        <f t="shared" ca="1" si="3"/>
        <v>47.93429158110883</v>
      </c>
      <c r="J39" s="164">
        <f t="shared" ca="1" si="4"/>
        <v>47.93429158110883</v>
      </c>
      <c r="K39" s="27">
        <f t="shared" ca="1" si="5"/>
        <v>59</v>
      </c>
    </row>
    <row r="40" spans="1:11" x14ac:dyDescent="0.3">
      <c r="A40" s="24" t="s">
        <v>50</v>
      </c>
      <c r="B40" s="25">
        <v>29179</v>
      </c>
      <c r="C40" s="24">
        <v>637576</v>
      </c>
      <c r="D40" s="26">
        <v>166533</v>
      </c>
      <c r="E40" s="24" t="s">
        <v>15</v>
      </c>
      <c r="F40" s="26">
        <f t="shared" ca="1" si="0"/>
        <v>44</v>
      </c>
      <c r="G40" s="27">
        <f t="shared" ca="1" si="1"/>
        <v>44</v>
      </c>
      <c r="H40" s="164">
        <f t="shared" ca="1" si="2"/>
        <v>43.216666666666669</v>
      </c>
      <c r="I40" s="164">
        <f t="shared" ca="1" si="3"/>
        <v>43.219712525667354</v>
      </c>
      <c r="J40" s="164">
        <f t="shared" ca="1" si="4"/>
        <v>43.219712525667354</v>
      </c>
      <c r="K40" s="27">
        <f t="shared" ca="1" si="5"/>
        <v>59</v>
      </c>
    </row>
    <row r="41" spans="1:11" x14ac:dyDescent="0.3">
      <c r="A41" s="24" t="s">
        <v>51</v>
      </c>
      <c r="B41" s="25">
        <v>33108</v>
      </c>
      <c r="C41" s="24">
        <v>410362</v>
      </c>
      <c r="D41" s="26">
        <v>189986</v>
      </c>
      <c r="E41" s="24" t="s">
        <v>8</v>
      </c>
      <c r="F41" s="26">
        <f t="shared" ca="1" si="0"/>
        <v>33</v>
      </c>
      <c r="G41" s="27">
        <f t="shared" ca="1" si="1"/>
        <v>33</v>
      </c>
      <c r="H41" s="164">
        <f t="shared" ca="1" si="2"/>
        <v>32.458333333333336</v>
      </c>
      <c r="I41" s="164">
        <f t="shared" ca="1" si="3"/>
        <v>32.462696783025322</v>
      </c>
      <c r="J41" s="164">
        <f t="shared" ca="1" si="4"/>
        <v>32.462696783025322</v>
      </c>
      <c r="K41" s="27">
        <f t="shared" ca="1" si="5"/>
        <v>59</v>
      </c>
    </row>
    <row r="42" spans="1:11" ht="15" customHeight="1" x14ac:dyDescent="0.3">
      <c r="A42" s="24" t="s">
        <v>52</v>
      </c>
      <c r="B42" s="25">
        <v>22412</v>
      </c>
      <c r="C42" s="24">
        <v>194961</v>
      </c>
      <c r="D42" s="26">
        <v>36323</v>
      </c>
      <c r="E42" s="24" t="s">
        <v>8</v>
      </c>
      <c r="F42" s="26">
        <f t="shared" ca="1" si="0"/>
        <v>62</v>
      </c>
      <c r="G42" s="27">
        <f t="shared" ca="1" si="1"/>
        <v>62</v>
      </c>
      <c r="H42" s="164">
        <f t="shared" ca="1" si="2"/>
        <v>61.741666666666667</v>
      </c>
      <c r="I42" s="164">
        <f t="shared" ca="1" si="3"/>
        <v>61.746748802190282</v>
      </c>
      <c r="J42" s="164">
        <f t="shared" ca="1" si="4"/>
        <v>61.746748802190282</v>
      </c>
      <c r="K42" s="27">
        <f t="shared" ca="1" si="5"/>
        <v>59</v>
      </c>
    </row>
    <row r="43" spans="1:11" ht="15" customHeight="1" x14ac:dyDescent="0.3">
      <c r="A43" s="24" t="s">
        <v>53</v>
      </c>
      <c r="B43" s="25">
        <v>32707</v>
      </c>
      <c r="C43" s="24">
        <v>385452</v>
      </c>
      <c r="D43" s="26">
        <v>121933</v>
      </c>
      <c r="E43" s="24" t="s">
        <v>15</v>
      </c>
      <c r="F43" s="26">
        <f t="shared" ca="1" si="0"/>
        <v>34</v>
      </c>
      <c r="G43" s="27">
        <f t="shared" ca="1" si="1"/>
        <v>34</v>
      </c>
      <c r="H43" s="164">
        <f t="shared" ca="1" si="2"/>
        <v>33.555555555555557</v>
      </c>
      <c r="I43" s="164">
        <f t="shared" ca="1" si="3"/>
        <v>33.560574948665298</v>
      </c>
      <c r="J43" s="164">
        <f t="shared" ca="1" si="4"/>
        <v>33.560574948665298</v>
      </c>
      <c r="K43" s="27">
        <f t="shared" ca="1" si="5"/>
        <v>59</v>
      </c>
    </row>
    <row r="44" spans="1:11" ht="15" customHeight="1" x14ac:dyDescent="0.3">
      <c r="A44" s="24" t="s">
        <v>54</v>
      </c>
      <c r="B44" s="25">
        <v>28762</v>
      </c>
      <c r="C44" s="24">
        <v>480960</v>
      </c>
      <c r="D44" s="26">
        <v>185816</v>
      </c>
      <c r="E44" s="24" t="s">
        <v>13</v>
      </c>
      <c r="F44" s="26">
        <f t="shared" ca="1" si="0"/>
        <v>45</v>
      </c>
      <c r="G44" s="27">
        <f t="shared" ca="1" si="1"/>
        <v>45</v>
      </c>
      <c r="H44" s="164">
        <f t="shared" ca="1" si="2"/>
        <v>44.358333333333334</v>
      </c>
      <c r="I44" s="164">
        <f t="shared" ca="1" si="3"/>
        <v>44.361396303901437</v>
      </c>
      <c r="J44" s="164">
        <f t="shared" ca="1" si="4"/>
        <v>44.361396303901437</v>
      </c>
      <c r="K44" s="27">
        <f t="shared" ca="1" si="5"/>
        <v>59</v>
      </c>
    </row>
    <row r="45" spans="1:11" ht="15" customHeight="1" x14ac:dyDescent="0.3">
      <c r="A45" s="24" t="s">
        <v>55</v>
      </c>
      <c r="B45" s="25">
        <v>31277</v>
      </c>
      <c r="C45" s="24">
        <v>347255</v>
      </c>
      <c r="D45" s="26">
        <v>117734</v>
      </c>
      <c r="E45" s="24" t="s">
        <v>17</v>
      </c>
      <c r="F45" s="26">
        <f t="shared" ca="1" si="0"/>
        <v>38</v>
      </c>
      <c r="G45" s="27">
        <f t="shared" ca="1" si="1"/>
        <v>38</v>
      </c>
      <c r="H45" s="164">
        <f t="shared" ca="1" si="2"/>
        <v>37.472222222222221</v>
      </c>
      <c r="I45" s="164">
        <f t="shared" ca="1" si="3"/>
        <v>37.4757015742642</v>
      </c>
      <c r="J45" s="164">
        <f t="shared" ca="1" si="4"/>
        <v>37.4757015742642</v>
      </c>
      <c r="K45" s="27">
        <f t="shared" ca="1" si="5"/>
        <v>59</v>
      </c>
    </row>
    <row r="46" spans="1:11" ht="15" customHeight="1" x14ac:dyDescent="0.3">
      <c r="A46" s="24" t="s">
        <v>56</v>
      </c>
      <c r="B46" s="25">
        <v>31846</v>
      </c>
      <c r="C46" s="24">
        <v>521081</v>
      </c>
      <c r="D46" s="26">
        <v>142055</v>
      </c>
      <c r="E46" s="24" t="s">
        <v>10</v>
      </c>
      <c r="F46" s="26">
        <f t="shared" ca="1" si="0"/>
        <v>36</v>
      </c>
      <c r="G46" s="27">
        <f t="shared" ca="1" si="1"/>
        <v>36</v>
      </c>
      <c r="H46" s="164">
        <f t="shared" ca="1" si="2"/>
        <v>35.911111111111111</v>
      </c>
      <c r="I46" s="164">
        <f t="shared" ca="1" si="3"/>
        <v>35.917864476386036</v>
      </c>
      <c r="J46" s="164">
        <f t="shared" ca="1" si="4"/>
        <v>35.917864476386036</v>
      </c>
      <c r="K46" s="27">
        <f t="shared" ca="1" si="5"/>
        <v>59</v>
      </c>
    </row>
    <row r="47" spans="1:11" ht="15" customHeight="1" x14ac:dyDescent="0.3">
      <c r="A47" s="24" t="s">
        <v>57</v>
      </c>
      <c r="B47" s="25">
        <v>33287</v>
      </c>
      <c r="C47" s="24">
        <v>492750</v>
      </c>
      <c r="D47" s="26">
        <v>90073</v>
      </c>
      <c r="E47" s="24" t="s">
        <v>15</v>
      </c>
      <c r="F47" s="26">
        <f t="shared" ca="1" si="0"/>
        <v>32</v>
      </c>
      <c r="G47" s="27">
        <f t="shared" ca="1" si="1"/>
        <v>32</v>
      </c>
      <c r="H47" s="164">
        <f t="shared" ca="1" si="2"/>
        <v>31.972222222222221</v>
      </c>
      <c r="I47" s="164">
        <f t="shared" ca="1" si="3"/>
        <v>31.972621492128678</v>
      </c>
      <c r="J47" s="164">
        <f t="shared" ca="1" si="4"/>
        <v>31.972621492128678</v>
      </c>
      <c r="K47" s="27">
        <f t="shared" ca="1" si="5"/>
        <v>59</v>
      </c>
    </row>
    <row r="48" spans="1:11" ht="15" customHeight="1" x14ac:dyDescent="0.3">
      <c r="A48" s="24" t="s">
        <v>58</v>
      </c>
      <c r="B48" s="25">
        <v>34087</v>
      </c>
      <c r="C48" s="24">
        <v>290314</v>
      </c>
      <c r="D48" s="26">
        <v>136491</v>
      </c>
      <c r="E48" s="24" t="s">
        <v>10</v>
      </c>
      <c r="F48" s="26">
        <f t="shared" ca="1" si="0"/>
        <v>30</v>
      </c>
      <c r="G48" s="27">
        <f t="shared" ca="1" si="1"/>
        <v>30</v>
      </c>
      <c r="H48" s="164">
        <f t="shared" ca="1" si="2"/>
        <v>29.777777777777779</v>
      </c>
      <c r="I48" s="164">
        <f t="shared" ca="1" si="3"/>
        <v>29.782340862422998</v>
      </c>
      <c r="J48" s="164">
        <f t="shared" ca="1" si="4"/>
        <v>29.782340862422998</v>
      </c>
      <c r="K48" s="27">
        <f t="shared" ca="1" si="5"/>
        <v>59</v>
      </c>
    </row>
    <row r="49" spans="1:11" ht="15" customHeight="1" x14ac:dyDescent="0.3">
      <c r="A49" s="24" t="s">
        <v>59</v>
      </c>
      <c r="B49" s="25">
        <v>32568</v>
      </c>
      <c r="C49" s="24">
        <v>615932</v>
      </c>
      <c r="D49" s="26">
        <v>178911</v>
      </c>
      <c r="E49" s="24" t="s">
        <v>17</v>
      </c>
      <c r="F49" s="26">
        <f t="shared" ca="1" si="0"/>
        <v>34</v>
      </c>
      <c r="G49" s="27">
        <f t="shared" ca="1" si="1"/>
        <v>34</v>
      </c>
      <c r="H49" s="164">
        <f t="shared" ca="1" si="2"/>
        <v>33.93611111111111</v>
      </c>
      <c r="I49" s="164">
        <f t="shared" ca="1" si="3"/>
        <v>33.941136208076657</v>
      </c>
      <c r="J49" s="164">
        <f t="shared" ca="1" si="4"/>
        <v>33.941136208076657</v>
      </c>
      <c r="K49" s="27">
        <f t="shared" ca="1" si="5"/>
        <v>59</v>
      </c>
    </row>
    <row r="50" spans="1:11" x14ac:dyDescent="0.3">
      <c r="A50" s="24" t="s">
        <v>60</v>
      </c>
      <c r="B50" s="25">
        <v>26912</v>
      </c>
      <c r="C50" s="24">
        <v>395489</v>
      </c>
      <c r="D50" s="26">
        <v>149428</v>
      </c>
      <c r="E50" s="24" t="s">
        <v>15</v>
      </c>
      <c r="F50" s="26">
        <f t="shared" ca="1" si="0"/>
        <v>50</v>
      </c>
      <c r="G50" s="27">
        <f t="shared" ca="1" si="1"/>
        <v>50</v>
      </c>
      <c r="H50" s="164">
        <f t="shared" ca="1" si="2"/>
        <v>49.424999999999997</v>
      </c>
      <c r="I50" s="164">
        <f t="shared" ca="1" si="3"/>
        <v>49.426420260095824</v>
      </c>
      <c r="J50" s="164">
        <f t="shared" ca="1" si="4"/>
        <v>49.426420260095824</v>
      </c>
      <c r="K50" s="27">
        <f t="shared" ca="1" si="5"/>
        <v>59</v>
      </c>
    </row>
    <row r="51" spans="1:11" x14ac:dyDescent="0.3">
      <c r="A51" s="24" t="s">
        <v>61</v>
      </c>
      <c r="B51" s="25">
        <v>26023</v>
      </c>
      <c r="C51" s="24">
        <v>385800</v>
      </c>
      <c r="D51" s="26">
        <v>130701</v>
      </c>
      <c r="E51" s="24" t="s">
        <v>17</v>
      </c>
      <c r="F51" s="26">
        <f t="shared" ca="1" si="0"/>
        <v>52</v>
      </c>
      <c r="G51" s="27">
        <f t="shared" ca="1" si="1"/>
        <v>52</v>
      </c>
      <c r="H51" s="164">
        <f t="shared" ca="1" si="2"/>
        <v>51.855555555555554</v>
      </c>
      <c r="I51" s="164">
        <f t="shared" ca="1" si="3"/>
        <v>51.860369609856264</v>
      </c>
      <c r="J51" s="164">
        <f t="shared" ca="1" si="4"/>
        <v>51.860369609856264</v>
      </c>
      <c r="K51" s="27">
        <f t="shared" ca="1" si="5"/>
        <v>59</v>
      </c>
    </row>
    <row r="52" spans="1:11" x14ac:dyDescent="0.3">
      <c r="A52" s="24" t="s">
        <v>62</v>
      </c>
      <c r="B52" s="25">
        <v>26553</v>
      </c>
      <c r="C52" s="24">
        <v>306853</v>
      </c>
      <c r="D52" s="26">
        <v>96387</v>
      </c>
      <c r="E52" s="24" t="s">
        <v>8</v>
      </c>
      <c r="F52" s="26">
        <f t="shared" ca="1" si="0"/>
        <v>51</v>
      </c>
      <c r="G52" s="27">
        <f t="shared" ca="1" si="1"/>
        <v>51</v>
      </c>
      <c r="H52" s="164">
        <f t="shared" ca="1" si="2"/>
        <v>50.408333333333331</v>
      </c>
      <c r="I52" s="164">
        <f t="shared" ca="1" si="3"/>
        <v>50.409308692676248</v>
      </c>
      <c r="J52" s="164">
        <f t="shared" ca="1" si="4"/>
        <v>50.409308692676248</v>
      </c>
      <c r="K52" s="27">
        <f t="shared" ca="1" si="5"/>
        <v>59</v>
      </c>
    </row>
    <row r="53" spans="1:11" x14ac:dyDescent="0.3">
      <c r="A53" s="24" t="s">
        <v>63</v>
      </c>
      <c r="B53" s="25">
        <v>23666</v>
      </c>
      <c r="C53" s="24">
        <v>490570</v>
      </c>
      <c r="D53" s="26">
        <v>49986</v>
      </c>
      <c r="E53" s="24" t="s">
        <v>17</v>
      </c>
      <c r="F53" s="26">
        <f t="shared" ca="1" si="0"/>
        <v>59</v>
      </c>
      <c r="G53" s="27">
        <f t="shared" ca="1" si="1"/>
        <v>59</v>
      </c>
      <c r="H53" s="164">
        <f t="shared" ca="1" si="2"/>
        <v>58.31111111111111</v>
      </c>
      <c r="I53" s="164">
        <f t="shared" ca="1" si="3"/>
        <v>58.313483915126625</v>
      </c>
      <c r="J53" s="164">
        <f t="shared" ca="1" si="4"/>
        <v>58.313483915126625</v>
      </c>
      <c r="K53" s="27">
        <f t="shared" ca="1" si="5"/>
        <v>59</v>
      </c>
    </row>
    <row r="54" spans="1:11" x14ac:dyDescent="0.3">
      <c r="A54" s="24" t="s">
        <v>64</v>
      </c>
      <c r="B54" s="25">
        <v>23919</v>
      </c>
      <c r="C54" s="24">
        <v>410913</v>
      </c>
      <c r="D54" s="26">
        <v>139842</v>
      </c>
      <c r="E54" s="24" t="s">
        <v>15</v>
      </c>
      <c r="F54" s="26">
        <f t="shared" ca="1" si="0"/>
        <v>58</v>
      </c>
      <c r="G54" s="27">
        <f t="shared" ca="1" si="1"/>
        <v>58</v>
      </c>
      <c r="H54" s="164">
        <f t="shared" ca="1" si="2"/>
        <v>57.616666666666667</v>
      </c>
      <c r="I54" s="164">
        <f t="shared" ca="1" si="3"/>
        <v>57.620807665982205</v>
      </c>
      <c r="J54" s="164">
        <f t="shared" ca="1" si="4"/>
        <v>57.620807665982205</v>
      </c>
      <c r="K54" s="27">
        <f t="shared" ca="1" si="5"/>
        <v>59</v>
      </c>
    </row>
    <row r="55" spans="1:11" x14ac:dyDescent="0.3">
      <c r="A55" s="24" t="s">
        <v>65</v>
      </c>
      <c r="B55" s="25">
        <v>33553</v>
      </c>
      <c r="C55" s="24">
        <v>410571</v>
      </c>
      <c r="D55" s="26">
        <v>99442</v>
      </c>
      <c r="E55" s="24" t="s">
        <v>10</v>
      </c>
      <c r="F55" s="26">
        <f t="shared" ca="1" si="0"/>
        <v>32</v>
      </c>
      <c r="G55" s="27">
        <f t="shared" ca="1" si="1"/>
        <v>32</v>
      </c>
      <c r="H55" s="164">
        <f t="shared" ca="1" si="2"/>
        <v>31.241666666666667</v>
      </c>
      <c r="I55" s="164">
        <f t="shared" ca="1" si="3"/>
        <v>31.244353182751539</v>
      </c>
      <c r="J55" s="164">
        <f t="shared" ca="1" si="4"/>
        <v>31.244353182751539</v>
      </c>
      <c r="K55" s="27">
        <f t="shared" ca="1" si="5"/>
        <v>59</v>
      </c>
    </row>
    <row r="56" spans="1:11" x14ac:dyDescent="0.3">
      <c r="A56" s="24" t="s">
        <v>66</v>
      </c>
      <c r="B56" s="25">
        <v>22429</v>
      </c>
      <c r="C56" s="24">
        <v>290915</v>
      </c>
      <c r="D56" s="26">
        <v>3925</v>
      </c>
      <c r="E56" s="24" t="s">
        <v>8</v>
      </c>
      <c r="F56" s="26">
        <f t="shared" ca="1" si="0"/>
        <v>62</v>
      </c>
      <c r="G56" s="27">
        <f t="shared" ca="1" si="1"/>
        <v>62</v>
      </c>
      <c r="H56" s="164">
        <f t="shared" ca="1" si="2"/>
        <v>61.694444444444443</v>
      </c>
      <c r="I56" s="164">
        <f t="shared" ca="1" si="3"/>
        <v>61.700205338809035</v>
      </c>
      <c r="J56" s="164">
        <f t="shared" ca="1" si="4"/>
        <v>61.700205338809035</v>
      </c>
      <c r="K56" s="27">
        <f t="shared" ca="1" si="5"/>
        <v>59</v>
      </c>
    </row>
    <row r="57" spans="1:11" x14ac:dyDescent="0.3">
      <c r="A57" s="24" t="s">
        <v>67</v>
      </c>
      <c r="B57" s="25">
        <v>23039</v>
      </c>
      <c r="C57" s="24">
        <v>445544</v>
      </c>
      <c r="D57" s="26">
        <v>183086</v>
      </c>
      <c r="E57" s="24" t="s">
        <v>15</v>
      </c>
      <c r="F57" s="26">
        <f t="shared" ca="1" si="0"/>
        <v>60</v>
      </c>
      <c r="G57" s="27">
        <f t="shared" ca="1" si="1"/>
        <v>60</v>
      </c>
      <c r="H57" s="164">
        <f t="shared" ca="1" si="2"/>
        <v>60.027777777777779</v>
      </c>
      <c r="I57" s="164">
        <f t="shared" ca="1" si="3"/>
        <v>60.030116358658454</v>
      </c>
      <c r="J57" s="164">
        <f t="shared" ca="1" si="4"/>
        <v>60.030116358658454</v>
      </c>
      <c r="K57" s="27">
        <f t="shared" ca="1" si="5"/>
        <v>59</v>
      </c>
    </row>
    <row r="58" spans="1:11" x14ac:dyDescent="0.3">
      <c r="A58" s="24" t="s">
        <v>68</v>
      </c>
      <c r="B58" s="25">
        <v>22919</v>
      </c>
      <c r="C58" s="24">
        <v>601960</v>
      </c>
      <c r="D58" s="26">
        <v>143859</v>
      </c>
      <c r="E58" s="24" t="s">
        <v>15</v>
      </c>
      <c r="F58" s="26">
        <f t="shared" ca="1" si="0"/>
        <v>61</v>
      </c>
      <c r="G58" s="27">
        <f t="shared" ca="1" si="1"/>
        <v>61</v>
      </c>
      <c r="H58" s="164">
        <f t="shared" ca="1" si="2"/>
        <v>60.355555555555554</v>
      </c>
      <c r="I58" s="164">
        <f t="shared" ca="1" si="3"/>
        <v>60.358658453114302</v>
      </c>
      <c r="J58" s="164">
        <f t="shared" ca="1" si="4"/>
        <v>60.358658453114302</v>
      </c>
      <c r="K58" s="27">
        <f t="shared" ca="1" si="5"/>
        <v>59</v>
      </c>
    </row>
    <row r="59" spans="1:11" x14ac:dyDescent="0.3">
      <c r="A59" s="24" t="s">
        <v>69</v>
      </c>
      <c r="B59" s="25">
        <v>25313</v>
      </c>
      <c r="C59" s="24">
        <v>376333</v>
      </c>
      <c r="D59" s="26">
        <v>176375</v>
      </c>
      <c r="E59" s="24" t="s">
        <v>10</v>
      </c>
      <c r="F59" s="26">
        <f t="shared" ca="1" si="0"/>
        <v>54</v>
      </c>
      <c r="G59" s="27">
        <f t="shared" ca="1" si="1"/>
        <v>54</v>
      </c>
      <c r="H59" s="164">
        <f t="shared" ca="1" si="2"/>
        <v>53.8</v>
      </c>
      <c r="I59" s="164">
        <f t="shared" ca="1" si="3"/>
        <v>53.804243668720055</v>
      </c>
      <c r="J59" s="164">
        <f t="shared" ca="1" si="4"/>
        <v>53.804243668720055</v>
      </c>
      <c r="K59" s="27">
        <f t="shared" ca="1" si="5"/>
        <v>59</v>
      </c>
    </row>
    <row r="60" spans="1:11" x14ac:dyDescent="0.3">
      <c r="A60" s="24" t="s">
        <v>70</v>
      </c>
      <c r="B60" s="25">
        <v>21876</v>
      </c>
      <c r="C60" s="24">
        <v>497940</v>
      </c>
      <c r="D60" s="26">
        <v>119848</v>
      </c>
      <c r="E60" s="24" t="s">
        <v>10</v>
      </c>
      <c r="F60" s="26">
        <f t="shared" ca="1" si="0"/>
        <v>64</v>
      </c>
      <c r="G60" s="27">
        <f t="shared" ca="1" si="1"/>
        <v>64</v>
      </c>
      <c r="H60" s="164">
        <f t="shared" ca="1" si="2"/>
        <v>63.211111111111109</v>
      </c>
      <c r="I60" s="164">
        <f t="shared" ca="1" si="3"/>
        <v>63.214236824093085</v>
      </c>
      <c r="J60" s="164">
        <f t="shared" ca="1" si="4"/>
        <v>63.214236824093085</v>
      </c>
      <c r="K60" s="27">
        <f t="shared" ca="1" si="5"/>
        <v>59</v>
      </c>
    </row>
    <row r="61" spans="1:11" x14ac:dyDescent="0.3">
      <c r="A61" s="24" t="s">
        <v>71</v>
      </c>
      <c r="B61" s="25">
        <v>27394</v>
      </c>
      <c r="C61" s="24">
        <v>303812</v>
      </c>
      <c r="D61" s="26">
        <v>109341</v>
      </c>
      <c r="E61" s="24" t="s">
        <v>10</v>
      </c>
      <c r="F61" s="26">
        <f t="shared" ca="1" si="0"/>
        <v>49</v>
      </c>
      <c r="G61" s="27">
        <f t="shared" ca="1" si="1"/>
        <v>49</v>
      </c>
      <c r="H61" s="164">
        <f t="shared" ca="1" si="2"/>
        <v>48.105555555555554</v>
      </c>
      <c r="I61" s="164">
        <f t="shared" ca="1" si="3"/>
        <v>48.106776180698155</v>
      </c>
      <c r="J61" s="164">
        <f t="shared" ca="1" si="4"/>
        <v>48.106776180698155</v>
      </c>
      <c r="K61" s="27">
        <f t="shared" ca="1" si="5"/>
        <v>59</v>
      </c>
    </row>
    <row r="62" spans="1:11" x14ac:dyDescent="0.3">
      <c r="A62" s="24" t="s">
        <v>72</v>
      </c>
      <c r="B62" s="25">
        <v>25748</v>
      </c>
      <c r="C62" s="24">
        <v>309283</v>
      </c>
      <c r="D62" s="26">
        <v>143540</v>
      </c>
      <c r="E62" s="24" t="s">
        <v>17</v>
      </c>
      <c r="F62" s="26">
        <f t="shared" ca="1" si="0"/>
        <v>53</v>
      </c>
      <c r="G62" s="27">
        <f t="shared" ca="1" si="1"/>
        <v>53</v>
      </c>
      <c r="H62" s="164">
        <f t="shared" ca="1" si="2"/>
        <v>52.608333333333334</v>
      </c>
      <c r="I62" s="164">
        <f t="shared" ca="1" si="3"/>
        <v>52.61327857631759</v>
      </c>
      <c r="J62" s="164">
        <f t="shared" ca="1" si="4"/>
        <v>52.61327857631759</v>
      </c>
      <c r="K62" s="27">
        <f t="shared" ca="1" si="5"/>
        <v>59</v>
      </c>
    </row>
    <row r="63" spans="1:11" x14ac:dyDescent="0.3">
      <c r="A63" s="24" t="s">
        <v>73</v>
      </c>
      <c r="B63" s="25">
        <v>20289</v>
      </c>
      <c r="C63" s="24">
        <v>256903</v>
      </c>
      <c r="D63" s="26">
        <v>49167</v>
      </c>
      <c r="E63" s="24" t="s">
        <v>10</v>
      </c>
      <c r="F63" s="26">
        <f t="shared" ca="1" si="0"/>
        <v>68</v>
      </c>
      <c r="G63" s="27">
        <f t="shared" ca="1" si="1"/>
        <v>68</v>
      </c>
      <c r="H63" s="164">
        <f t="shared" ca="1" si="2"/>
        <v>67.552777777777777</v>
      </c>
      <c r="I63" s="164">
        <f t="shared" ca="1" si="3"/>
        <v>67.559206023271727</v>
      </c>
      <c r="J63" s="164">
        <f t="shared" ca="1" si="4"/>
        <v>67.559206023271727</v>
      </c>
      <c r="K63" s="27">
        <f t="shared" ca="1" si="5"/>
        <v>59</v>
      </c>
    </row>
    <row r="64" spans="1:11" x14ac:dyDescent="0.3">
      <c r="A64" s="24" t="s">
        <v>74</v>
      </c>
      <c r="B64" s="25">
        <v>33721</v>
      </c>
      <c r="C64" s="24">
        <v>420810</v>
      </c>
      <c r="D64" s="26">
        <v>77783</v>
      </c>
      <c r="E64" s="24" t="s">
        <v>17</v>
      </c>
      <c r="F64" s="26">
        <f t="shared" ca="1" si="0"/>
        <v>31</v>
      </c>
      <c r="G64" s="27">
        <f t="shared" ca="1" si="1"/>
        <v>31</v>
      </c>
      <c r="H64" s="164">
        <f t="shared" ca="1" si="2"/>
        <v>30.780555555555555</v>
      </c>
      <c r="I64" s="164">
        <f t="shared" ca="1" si="3"/>
        <v>30.784394250513348</v>
      </c>
      <c r="J64" s="164">
        <f t="shared" ca="1" si="4"/>
        <v>30.784394250513348</v>
      </c>
      <c r="K64" s="27">
        <f t="shared" ca="1" si="5"/>
        <v>59</v>
      </c>
    </row>
    <row r="65" spans="1:11" x14ac:dyDescent="0.3">
      <c r="A65" s="24" t="s">
        <v>75</v>
      </c>
      <c r="B65" s="25">
        <v>27946</v>
      </c>
      <c r="C65" s="24">
        <v>385035</v>
      </c>
      <c r="D65" s="26">
        <v>151340</v>
      </c>
      <c r="E65" s="24" t="s">
        <v>17</v>
      </c>
      <c r="F65" s="26">
        <f t="shared" ca="1" si="0"/>
        <v>47</v>
      </c>
      <c r="G65" s="27">
        <f t="shared" ca="1" si="1"/>
        <v>47</v>
      </c>
      <c r="H65" s="164">
        <f t="shared" ca="1" si="2"/>
        <v>46.591666666666669</v>
      </c>
      <c r="I65" s="164">
        <f t="shared" ca="1" si="3"/>
        <v>46.595482546201232</v>
      </c>
      <c r="J65" s="164">
        <f t="shared" ca="1" si="4"/>
        <v>46.595482546201232</v>
      </c>
      <c r="K65" s="27">
        <f t="shared" ca="1" si="5"/>
        <v>59</v>
      </c>
    </row>
    <row r="66" spans="1:11" x14ac:dyDescent="0.3">
      <c r="A66" s="24" t="s">
        <v>76</v>
      </c>
      <c r="B66" s="25">
        <v>28818</v>
      </c>
      <c r="C66" s="24">
        <v>381041</v>
      </c>
      <c r="D66" s="26">
        <v>115575</v>
      </c>
      <c r="E66" s="24" t="s">
        <v>15</v>
      </c>
      <c r="F66" s="26">
        <f t="shared" ca="1" si="0"/>
        <v>45</v>
      </c>
      <c r="G66" s="27">
        <f t="shared" ca="1" si="1"/>
        <v>45</v>
      </c>
      <c r="H66" s="164">
        <f t="shared" ca="1" si="2"/>
        <v>44.205555555555556</v>
      </c>
      <c r="I66" s="164">
        <f t="shared" ca="1" si="3"/>
        <v>44.208076659822041</v>
      </c>
      <c r="J66" s="164">
        <f t="shared" ca="1" si="4"/>
        <v>44.208076659822041</v>
      </c>
      <c r="K66" s="27">
        <f t="shared" ca="1" si="5"/>
        <v>59</v>
      </c>
    </row>
    <row r="67" spans="1:11" x14ac:dyDescent="0.3">
      <c r="A67" s="24" t="s">
        <v>77</v>
      </c>
      <c r="B67" s="25">
        <v>29207</v>
      </c>
      <c r="C67" s="24">
        <v>284820</v>
      </c>
      <c r="D67" s="26">
        <v>112311</v>
      </c>
      <c r="E67" s="24" t="s">
        <v>15</v>
      </c>
      <c r="F67" s="26">
        <f t="shared" ref="F67:F101" ca="1" si="6">YEAR(NOW())-YEAR(B67)</f>
        <v>44</v>
      </c>
      <c r="G67" s="27">
        <f t="shared" ref="G67:G101" ca="1" si="7">VALUE(F67)</f>
        <v>44</v>
      </c>
      <c r="H67" s="164">
        <f t="shared" ref="H67:H100" ca="1" si="8">YEARFRAC(B67,TODAY())</f>
        <v>43.138888888888886</v>
      </c>
      <c r="I67" s="164">
        <f t="shared" ref="I67:I100" ca="1" si="9">(TODAY()-B67)/365.25</f>
        <v>43.143052703627653</v>
      </c>
      <c r="J67" s="164">
        <f t="shared" ref="J67:J100" ca="1" si="10">_xlfn.DAYS(TODAY(),B67)/365.25</f>
        <v>43.143052703627653</v>
      </c>
      <c r="K67" s="27">
        <f t="shared" ref="K67:K100" ca="1" si="11">YEAR(NOW())-1964</f>
        <v>59</v>
      </c>
    </row>
    <row r="68" spans="1:11" x14ac:dyDescent="0.3">
      <c r="A68" s="24" t="s">
        <v>78</v>
      </c>
      <c r="B68" s="25">
        <v>27535</v>
      </c>
      <c r="C68" s="24">
        <v>628593</v>
      </c>
      <c r="D68" s="26">
        <v>162468</v>
      </c>
      <c r="E68" s="24" t="s">
        <v>15</v>
      </c>
      <c r="F68" s="26">
        <f t="shared" ca="1" si="6"/>
        <v>48</v>
      </c>
      <c r="G68" s="27">
        <f t="shared" ca="1" si="7"/>
        <v>48</v>
      </c>
      <c r="H68" s="164">
        <f t="shared" ca="1" si="8"/>
        <v>47.713888888888889</v>
      </c>
      <c r="I68" s="164">
        <f t="shared" ca="1" si="9"/>
        <v>47.720739219712527</v>
      </c>
      <c r="J68" s="164">
        <f t="shared" ca="1" si="10"/>
        <v>47.720739219712527</v>
      </c>
      <c r="K68" s="27">
        <f t="shared" ca="1" si="11"/>
        <v>59</v>
      </c>
    </row>
    <row r="69" spans="1:11" x14ac:dyDescent="0.3">
      <c r="A69" s="24" t="s">
        <v>79</v>
      </c>
      <c r="B69" s="25">
        <v>21868</v>
      </c>
      <c r="C69" s="24">
        <v>375109</v>
      </c>
      <c r="D69" s="26">
        <v>75526</v>
      </c>
      <c r="E69" s="24" t="s">
        <v>17</v>
      </c>
      <c r="F69" s="26">
        <f t="shared" ca="1" si="6"/>
        <v>64</v>
      </c>
      <c r="G69" s="27">
        <f t="shared" ca="1" si="7"/>
        <v>64</v>
      </c>
      <c r="H69" s="164">
        <f t="shared" ca="1" si="8"/>
        <v>63.233333333333334</v>
      </c>
      <c r="I69" s="164">
        <f t="shared" ca="1" si="9"/>
        <v>63.236139630390142</v>
      </c>
      <c r="J69" s="164">
        <f t="shared" ca="1" si="10"/>
        <v>63.236139630390142</v>
      </c>
      <c r="K69" s="27">
        <f t="shared" ca="1" si="11"/>
        <v>59</v>
      </c>
    </row>
    <row r="70" spans="1:11" x14ac:dyDescent="0.3">
      <c r="A70" s="24" t="s">
        <v>80</v>
      </c>
      <c r="B70" s="25">
        <v>23754</v>
      </c>
      <c r="C70" s="24">
        <v>653169</v>
      </c>
      <c r="D70" s="26">
        <v>186717</v>
      </c>
      <c r="E70" s="24" t="s">
        <v>15</v>
      </c>
      <c r="F70" s="26">
        <f t="shared" ca="1" si="6"/>
        <v>58</v>
      </c>
      <c r="G70" s="27">
        <f t="shared" ca="1" si="7"/>
        <v>58</v>
      </c>
      <c r="H70" s="164">
        <f t="shared" ca="1" si="8"/>
        <v>58.072222222222223</v>
      </c>
      <c r="I70" s="164">
        <f t="shared" ca="1" si="9"/>
        <v>58.072553045859003</v>
      </c>
      <c r="J70" s="164">
        <f t="shared" ca="1" si="10"/>
        <v>58.072553045859003</v>
      </c>
      <c r="K70" s="27">
        <f t="shared" ca="1" si="11"/>
        <v>59</v>
      </c>
    </row>
    <row r="71" spans="1:11" x14ac:dyDescent="0.3">
      <c r="A71" s="24" t="s">
        <v>81</v>
      </c>
      <c r="B71" s="25">
        <v>30326</v>
      </c>
      <c r="C71" s="24">
        <v>191614</v>
      </c>
      <c r="D71" s="26">
        <v>34152</v>
      </c>
      <c r="E71" s="24" t="s">
        <v>8</v>
      </c>
      <c r="F71" s="26">
        <f t="shared" ca="1" si="6"/>
        <v>40</v>
      </c>
      <c r="G71" s="27">
        <f t="shared" ca="1" si="7"/>
        <v>40</v>
      </c>
      <c r="H71" s="164">
        <f t="shared" ca="1" si="8"/>
        <v>40.077777777777776</v>
      </c>
      <c r="I71" s="164">
        <f t="shared" ca="1" si="9"/>
        <v>40.079397672826829</v>
      </c>
      <c r="J71" s="164">
        <f t="shared" ca="1" si="10"/>
        <v>40.079397672826829</v>
      </c>
      <c r="K71" s="27">
        <f t="shared" ca="1" si="11"/>
        <v>59</v>
      </c>
    </row>
    <row r="72" spans="1:11" x14ac:dyDescent="0.3">
      <c r="A72" s="24" t="s">
        <v>82</v>
      </c>
      <c r="B72" s="25">
        <v>27024</v>
      </c>
      <c r="C72" s="24">
        <v>286250</v>
      </c>
      <c r="D72" s="26">
        <v>86753</v>
      </c>
      <c r="E72" s="24" t="s">
        <v>15</v>
      </c>
      <c r="F72" s="26">
        <f t="shared" ca="1" si="6"/>
        <v>50</v>
      </c>
      <c r="G72" s="27">
        <f t="shared" ca="1" si="7"/>
        <v>50</v>
      </c>
      <c r="H72" s="164">
        <f t="shared" ca="1" si="8"/>
        <v>49.116666666666667</v>
      </c>
      <c r="I72" s="164">
        <f t="shared" ca="1" si="9"/>
        <v>49.119780971937033</v>
      </c>
      <c r="J72" s="164">
        <f t="shared" ca="1" si="10"/>
        <v>49.119780971937033</v>
      </c>
      <c r="K72" s="27">
        <f t="shared" ca="1" si="11"/>
        <v>59</v>
      </c>
    </row>
    <row r="73" spans="1:11" x14ac:dyDescent="0.3">
      <c r="A73" s="24" t="s">
        <v>83</v>
      </c>
      <c r="B73" s="25">
        <v>31792</v>
      </c>
      <c r="C73" s="24">
        <v>491921</v>
      </c>
      <c r="D73" s="26">
        <v>126457</v>
      </c>
      <c r="E73" s="24" t="s">
        <v>8</v>
      </c>
      <c r="F73" s="26">
        <f t="shared" ca="1" si="6"/>
        <v>36</v>
      </c>
      <c r="G73" s="27">
        <f t="shared" ca="1" si="7"/>
        <v>36</v>
      </c>
      <c r="H73" s="164">
        <f t="shared" ca="1" si="8"/>
        <v>36.06388888888889</v>
      </c>
      <c r="I73" s="164">
        <f t="shared" ca="1" si="9"/>
        <v>36.06570841889117</v>
      </c>
      <c r="J73" s="164">
        <f t="shared" ca="1" si="10"/>
        <v>36.06570841889117</v>
      </c>
      <c r="K73" s="27">
        <f t="shared" ca="1" si="11"/>
        <v>59</v>
      </c>
    </row>
    <row r="74" spans="1:11" x14ac:dyDescent="0.3">
      <c r="A74" s="24" t="s">
        <v>84</v>
      </c>
      <c r="B74" s="25">
        <v>28106</v>
      </c>
      <c r="C74" s="24">
        <v>320820</v>
      </c>
      <c r="D74" s="26">
        <v>144881</v>
      </c>
      <c r="E74" s="24" t="s">
        <v>8</v>
      </c>
      <c r="F74" s="26">
        <f t="shared" ca="1" si="6"/>
        <v>47</v>
      </c>
      <c r="G74" s="27">
        <f t="shared" ca="1" si="7"/>
        <v>47</v>
      </c>
      <c r="H74" s="164">
        <f t="shared" ca="1" si="8"/>
        <v>46.155555555555559</v>
      </c>
      <c r="I74" s="164">
        <f t="shared" ca="1" si="9"/>
        <v>46.157426420260094</v>
      </c>
      <c r="J74" s="164">
        <f t="shared" ca="1" si="10"/>
        <v>46.157426420260094</v>
      </c>
      <c r="K74" s="27">
        <f t="shared" ca="1" si="11"/>
        <v>59</v>
      </c>
    </row>
    <row r="75" spans="1:11" x14ac:dyDescent="0.3">
      <c r="A75" s="24" t="s">
        <v>85</v>
      </c>
      <c r="B75" s="25">
        <v>31153</v>
      </c>
      <c r="C75" s="24">
        <v>389864</v>
      </c>
      <c r="D75" s="26">
        <v>163568</v>
      </c>
      <c r="E75" s="24" t="s">
        <v>13</v>
      </c>
      <c r="F75" s="26">
        <f t="shared" ca="1" si="6"/>
        <v>38</v>
      </c>
      <c r="G75" s="27">
        <f t="shared" ca="1" si="7"/>
        <v>38</v>
      </c>
      <c r="H75" s="164">
        <f t="shared" ca="1" si="8"/>
        <v>37.81111111111111</v>
      </c>
      <c r="I75" s="164">
        <f t="shared" ca="1" si="9"/>
        <v>37.81519507186858</v>
      </c>
      <c r="J75" s="164">
        <f t="shared" ca="1" si="10"/>
        <v>37.81519507186858</v>
      </c>
      <c r="K75" s="27">
        <f t="shared" ca="1" si="11"/>
        <v>59</v>
      </c>
    </row>
    <row r="76" spans="1:11" x14ac:dyDescent="0.3">
      <c r="A76" s="24" t="s">
        <v>86</v>
      </c>
      <c r="B76" s="25">
        <v>25559</v>
      </c>
      <c r="C76" s="24">
        <v>388677</v>
      </c>
      <c r="D76" s="26">
        <v>174507</v>
      </c>
      <c r="E76" s="24" t="s">
        <v>15</v>
      </c>
      <c r="F76" s="26">
        <f t="shared" ca="1" si="6"/>
        <v>54</v>
      </c>
      <c r="G76" s="27">
        <f t="shared" ca="1" si="7"/>
        <v>54</v>
      </c>
      <c r="H76" s="164">
        <f t="shared" ca="1" si="8"/>
        <v>53.12777777777778</v>
      </c>
      <c r="I76" s="164">
        <f t="shared" ca="1" si="9"/>
        <v>53.130732375085557</v>
      </c>
      <c r="J76" s="164">
        <f t="shared" ca="1" si="10"/>
        <v>53.130732375085557</v>
      </c>
      <c r="K76" s="27">
        <f t="shared" ca="1" si="11"/>
        <v>59</v>
      </c>
    </row>
    <row r="77" spans="1:11" x14ac:dyDescent="0.3">
      <c r="A77" s="24" t="s">
        <v>87</v>
      </c>
      <c r="B77" s="25">
        <v>20814</v>
      </c>
      <c r="C77" s="24">
        <v>551234</v>
      </c>
      <c r="D77" s="26">
        <v>104926</v>
      </c>
      <c r="E77" s="24" t="s">
        <v>15</v>
      </c>
      <c r="F77" s="26">
        <f t="shared" ca="1" si="6"/>
        <v>67</v>
      </c>
      <c r="G77" s="27">
        <f t="shared" ca="1" si="7"/>
        <v>67</v>
      </c>
      <c r="H77" s="164">
        <f t="shared" ca="1" si="8"/>
        <v>66.11944444444444</v>
      </c>
      <c r="I77" s="164">
        <f t="shared" ca="1" si="9"/>
        <v>66.121834360027378</v>
      </c>
      <c r="J77" s="164">
        <f t="shared" ca="1" si="10"/>
        <v>66.121834360027378</v>
      </c>
      <c r="K77" s="27">
        <f t="shared" ca="1" si="11"/>
        <v>59</v>
      </c>
    </row>
    <row r="78" spans="1:11" x14ac:dyDescent="0.3">
      <c r="A78" s="24" t="s">
        <v>88</v>
      </c>
      <c r="B78" s="25">
        <v>22733</v>
      </c>
      <c r="C78" s="24">
        <v>536448</v>
      </c>
      <c r="D78" s="26">
        <v>117361</v>
      </c>
      <c r="E78" s="24" t="s">
        <v>17</v>
      </c>
      <c r="F78" s="26">
        <f t="shared" ca="1" si="6"/>
        <v>61</v>
      </c>
      <c r="G78" s="27">
        <f t="shared" ca="1" si="7"/>
        <v>61</v>
      </c>
      <c r="H78" s="164">
        <f t="shared" ca="1" si="8"/>
        <v>60.861111111111114</v>
      </c>
      <c r="I78" s="164">
        <f t="shared" ca="1" si="9"/>
        <v>60.867898699520879</v>
      </c>
      <c r="J78" s="164">
        <f t="shared" ca="1" si="10"/>
        <v>60.867898699520879</v>
      </c>
      <c r="K78" s="27">
        <f t="shared" ca="1" si="11"/>
        <v>59</v>
      </c>
    </row>
    <row r="79" spans="1:11" x14ac:dyDescent="0.3">
      <c r="A79" s="24" t="s">
        <v>89</v>
      </c>
      <c r="B79" s="25">
        <v>30798</v>
      </c>
      <c r="C79" s="24">
        <v>296038</v>
      </c>
      <c r="D79" s="26">
        <v>97113</v>
      </c>
      <c r="E79" s="24" t="s">
        <v>17</v>
      </c>
      <c r="F79" s="26">
        <f t="shared" ca="1" si="6"/>
        <v>39</v>
      </c>
      <c r="G79" s="27">
        <f t="shared" ca="1" si="7"/>
        <v>39</v>
      </c>
      <c r="H79" s="164">
        <f t="shared" ca="1" si="8"/>
        <v>38.783333333333331</v>
      </c>
      <c r="I79" s="164">
        <f t="shared" ca="1" si="9"/>
        <v>38.787132101300479</v>
      </c>
      <c r="J79" s="164">
        <f t="shared" ca="1" si="10"/>
        <v>38.787132101300479</v>
      </c>
      <c r="K79" s="27">
        <f t="shared" ca="1" si="11"/>
        <v>59</v>
      </c>
    </row>
    <row r="80" spans="1:11" x14ac:dyDescent="0.3">
      <c r="A80" s="24" t="s">
        <v>90</v>
      </c>
      <c r="B80" s="25">
        <v>23789</v>
      </c>
      <c r="C80" s="24">
        <v>522567</v>
      </c>
      <c r="D80" s="26">
        <v>103013</v>
      </c>
      <c r="E80" s="24" t="s">
        <v>17</v>
      </c>
      <c r="F80" s="26">
        <f t="shared" ca="1" si="6"/>
        <v>58</v>
      </c>
      <c r="G80" s="27">
        <f t="shared" ca="1" si="7"/>
        <v>58</v>
      </c>
      <c r="H80" s="164">
        <f t="shared" ca="1" si="8"/>
        <v>57.977777777777774</v>
      </c>
      <c r="I80" s="164">
        <f t="shared" ca="1" si="9"/>
        <v>57.97672826830938</v>
      </c>
      <c r="J80" s="164">
        <f t="shared" ca="1" si="10"/>
        <v>57.97672826830938</v>
      </c>
      <c r="K80" s="27">
        <f t="shared" ca="1" si="11"/>
        <v>59</v>
      </c>
    </row>
    <row r="81" spans="1:11" x14ac:dyDescent="0.3">
      <c r="A81" s="24" t="s">
        <v>91</v>
      </c>
      <c r="B81" s="25">
        <v>25222</v>
      </c>
      <c r="C81" s="24">
        <v>361948</v>
      </c>
      <c r="D81" s="26">
        <v>52784</v>
      </c>
      <c r="E81" s="24" t="s">
        <v>13</v>
      </c>
      <c r="F81" s="26">
        <f t="shared" ca="1" si="6"/>
        <v>54</v>
      </c>
      <c r="G81" s="27">
        <f t="shared" ca="1" si="7"/>
        <v>54</v>
      </c>
      <c r="H81" s="164">
        <f t="shared" ca="1" si="8"/>
        <v>54.052777777777777</v>
      </c>
      <c r="I81" s="164">
        <f t="shared" ca="1" si="9"/>
        <v>54.053388090349074</v>
      </c>
      <c r="J81" s="164">
        <f t="shared" ca="1" si="10"/>
        <v>54.053388090349074</v>
      </c>
      <c r="K81" s="27">
        <f t="shared" ca="1" si="11"/>
        <v>59</v>
      </c>
    </row>
    <row r="82" spans="1:11" x14ac:dyDescent="0.3">
      <c r="A82" s="24" t="s">
        <v>92</v>
      </c>
      <c r="B82" s="25">
        <v>23041</v>
      </c>
      <c r="C82" s="24">
        <v>342396</v>
      </c>
      <c r="D82" s="26">
        <v>138585</v>
      </c>
      <c r="E82" s="24" t="s">
        <v>17</v>
      </c>
      <c r="F82" s="26">
        <f t="shared" ca="1" si="6"/>
        <v>60</v>
      </c>
      <c r="G82" s="27">
        <f t="shared" ca="1" si="7"/>
        <v>60</v>
      </c>
      <c r="H82" s="164">
        <f t="shared" ca="1" si="8"/>
        <v>60.022222222222226</v>
      </c>
      <c r="I82" s="164">
        <f t="shared" ca="1" si="9"/>
        <v>60.024640657084191</v>
      </c>
      <c r="J82" s="164">
        <f t="shared" ca="1" si="10"/>
        <v>60.024640657084191</v>
      </c>
      <c r="K82" s="27">
        <f t="shared" ca="1" si="11"/>
        <v>59</v>
      </c>
    </row>
    <row r="83" spans="1:11" x14ac:dyDescent="0.3">
      <c r="A83" s="24" t="s">
        <v>93</v>
      </c>
      <c r="B83" s="25">
        <v>28600</v>
      </c>
      <c r="C83" s="24">
        <v>551599</v>
      </c>
      <c r="D83" s="26">
        <v>157564</v>
      </c>
      <c r="E83" s="24" t="s">
        <v>15</v>
      </c>
      <c r="F83" s="26">
        <f t="shared" ca="1" si="6"/>
        <v>45</v>
      </c>
      <c r="G83" s="27">
        <f t="shared" ca="1" si="7"/>
        <v>45</v>
      </c>
      <c r="H83" s="164">
        <f t="shared" ca="1" si="8"/>
        <v>44.8</v>
      </c>
      <c r="I83" s="164">
        <f t="shared" ca="1" si="9"/>
        <v>44.804928131416837</v>
      </c>
      <c r="J83" s="164">
        <f t="shared" ca="1" si="10"/>
        <v>44.804928131416837</v>
      </c>
      <c r="K83" s="27">
        <f t="shared" ca="1" si="11"/>
        <v>59</v>
      </c>
    </row>
    <row r="84" spans="1:11" x14ac:dyDescent="0.3">
      <c r="A84" s="24" t="s">
        <v>94</v>
      </c>
      <c r="B84" s="25">
        <v>22837</v>
      </c>
      <c r="C84" s="24">
        <v>381769</v>
      </c>
      <c r="D84" s="26">
        <v>13951</v>
      </c>
      <c r="E84" s="24" t="s">
        <v>17</v>
      </c>
      <c r="F84" s="26">
        <f t="shared" ca="1" si="6"/>
        <v>61</v>
      </c>
      <c r="G84" s="27">
        <f t="shared" ca="1" si="7"/>
        <v>61</v>
      </c>
      <c r="H84" s="164">
        <f t="shared" ca="1" si="8"/>
        <v>60.577777777777776</v>
      </c>
      <c r="I84" s="164">
        <f t="shared" ca="1" si="9"/>
        <v>60.583162217659137</v>
      </c>
      <c r="J84" s="164">
        <f t="shared" ca="1" si="10"/>
        <v>60.583162217659137</v>
      </c>
      <c r="K84" s="27">
        <f t="shared" ca="1" si="11"/>
        <v>59</v>
      </c>
    </row>
    <row r="85" spans="1:11" x14ac:dyDescent="0.3">
      <c r="A85" s="24" t="s">
        <v>95</v>
      </c>
      <c r="B85" s="25">
        <v>20389</v>
      </c>
      <c r="C85" s="24">
        <v>514985</v>
      </c>
      <c r="D85" s="26">
        <v>156993</v>
      </c>
      <c r="E85" s="24" t="s">
        <v>10</v>
      </c>
      <c r="F85" s="26">
        <f t="shared" ca="1" si="6"/>
        <v>68</v>
      </c>
      <c r="G85" s="27">
        <f t="shared" ca="1" si="7"/>
        <v>68</v>
      </c>
      <c r="H85" s="164">
        <f t="shared" ca="1" si="8"/>
        <v>67.280555555555551</v>
      </c>
      <c r="I85" s="164">
        <f t="shared" ca="1" si="9"/>
        <v>67.285420944558524</v>
      </c>
      <c r="J85" s="164">
        <f t="shared" ca="1" si="10"/>
        <v>67.285420944558524</v>
      </c>
      <c r="K85" s="27">
        <f t="shared" ca="1" si="11"/>
        <v>59</v>
      </c>
    </row>
    <row r="86" spans="1:11" x14ac:dyDescent="0.3">
      <c r="A86" s="24" t="s">
        <v>96</v>
      </c>
      <c r="B86" s="25">
        <v>25578</v>
      </c>
      <c r="C86" s="24">
        <v>433043</v>
      </c>
      <c r="D86" s="26">
        <v>207309</v>
      </c>
      <c r="E86" s="24" t="s">
        <v>17</v>
      </c>
      <c r="F86" s="26">
        <f t="shared" ca="1" si="6"/>
        <v>53</v>
      </c>
      <c r="G86" s="27">
        <f t="shared" ca="1" si="7"/>
        <v>53</v>
      </c>
      <c r="H86" s="164">
        <f t="shared" ca="1" si="8"/>
        <v>53.077777777777776</v>
      </c>
      <c r="I86" s="164">
        <f t="shared" ca="1" si="9"/>
        <v>53.078713210130047</v>
      </c>
      <c r="J86" s="164">
        <f t="shared" ca="1" si="10"/>
        <v>53.078713210130047</v>
      </c>
      <c r="K86" s="27">
        <f t="shared" ca="1" si="11"/>
        <v>59</v>
      </c>
    </row>
    <row r="87" spans="1:11" x14ac:dyDescent="0.3">
      <c r="A87" s="24" t="s">
        <v>97</v>
      </c>
      <c r="B87" s="25">
        <v>30604</v>
      </c>
      <c r="C87" s="24">
        <v>666689</v>
      </c>
      <c r="D87" s="26">
        <v>211269</v>
      </c>
      <c r="E87" s="24" t="s">
        <v>8</v>
      </c>
      <c r="F87" s="26">
        <f t="shared" ca="1" si="6"/>
        <v>40</v>
      </c>
      <c r="G87" s="27">
        <f t="shared" ca="1" si="7"/>
        <v>40</v>
      </c>
      <c r="H87" s="164">
        <f t="shared" ca="1" si="8"/>
        <v>39.31388888888889</v>
      </c>
      <c r="I87" s="164">
        <f t="shared" ca="1" si="9"/>
        <v>39.318275154004105</v>
      </c>
      <c r="J87" s="164">
        <f t="shared" ca="1" si="10"/>
        <v>39.318275154004105</v>
      </c>
      <c r="K87" s="27">
        <f t="shared" ca="1" si="11"/>
        <v>59</v>
      </c>
    </row>
    <row r="88" spans="1:11" x14ac:dyDescent="0.3">
      <c r="A88" s="24" t="s">
        <v>98</v>
      </c>
      <c r="B88" s="25">
        <v>20806</v>
      </c>
      <c r="C88" s="24">
        <v>316385</v>
      </c>
      <c r="D88" s="26">
        <v>39276</v>
      </c>
      <c r="E88" s="24" t="s">
        <v>17</v>
      </c>
      <c r="F88" s="26">
        <f t="shared" ca="1" si="6"/>
        <v>67</v>
      </c>
      <c r="G88" s="27">
        <f t="shared" ca="1" si="7"/>
        <v>67</v>
      </c>
      <c r="H88" s="164">
        <f t="shared" ca="1" si="8"/>
        <v>66.141666666666666</v>
      </c>
      <c r="I88" s="164">
        <f t="shared" ca="1" si="9"/>
        <v>66.143737166324442</v>
      </c>
      <c r="J88" s="164">
        <f t="shared" ca="1" si="10"/>
        <v>66.143737166324442</v>
      </c>
      <c r="K88" s="27">
        <f t="shared" ca="1" si="11"/>
        <v>59</v>
      </c>
    </row>
    <row r="89" spans="1:11" x14ac:dyDescent="0.3">
      <c r="A89" s="24" t="s">
        <v>99</v>
      </c>
      <c r="B89" s="25">
        <v>22232</v>
      </c>
      <c r="C89" s="24">
        <v>407360</v>
      </c>
      <c r="D89" s="26">
        <v>89495</v>
      </c>
      <c r="E89" s="24" t="s">
        <v>17</v>
      </c>
      <c r="F89" s="26">
        <f t="shared" ca="1" si="6"/>
        <v>63</v>
      </c>
      <c r="G89" s="27">
        <f t="shared" ca="1" si="7"/>
        <v>63</v>
      </c>
      <c r="H89" s="164">
        <f t="shared" ca="1" si="8"/>
        <v>62.238888888888887</v>
      </c>
      <c r="I89" s="164">
        <f t="shared" ca="1" si="9"/>
        <v>62.239561943874058</v>
      </c>
      <c r="J89" s="164">
        <f t="shared" ca="1" si="10"/>
        <v>62.239561943874058</v>
      </c>
      <c r="K89" s="27">
        <f t="shared" ca="1" si="11"/>
        <v>59</v>
      </c>
    </row>
    <row r="90" spans="1:11" x14ac:dyDescent="0.3">
      <c r="A90" s="24" t="s">
        <v>100</v>
      </c>
      <c r="B90" s="25">
        <v>28888</v>
      </c>
      <c r="C90" s="24">
        <v>356948</v>
      </c>
      <c r="D90" s="26">
        <v>65047</v>
      </c>
      <c r="E90" s="24" t="s">
        <v>10</v>
      </c>
      <c r="F90" s="26">
        <f t="shared" ca="1" si="6"/>
        <v>44</v>
      </c>
      <c r="G90" s="27">
        <f t="shared" ca="1" si="7"/>
        <v>44</v>
      </c>
      <c r="H90" s="164">
        <f t="shared" ca="1" si="8"/>
        <v>44.016666666666666</v>
      </c>
      <c r="I90" s="164">
        <f t="shared" ca="1" si="9"/>
        <v>44.016427104722794</v>
      </c>
      <c r="J90" s="164">
        <f t="shared" ca="1" si="10"/>
        <v>44.016427104722794</v>
      </c>
      <c r="K90" s="27">
        <f t="shared" ca="1" si="11"/>
        <v>59</v>
      </c>
    </row>
    <row r="91" spans="1:11" x14ac:dyDescent="0.3">
      <c r="A91" s="24" t="s">
        <v>101</v>
      </c>
      <c r="B91" s="25">
        <v>24258</v>
      </c>
      <c r="C91" s="24">
        <v>184728</v>
      </c>
      <c r="D91" s="26">
        <v>44044</v>
      </c>
      <c r="E91" s="24" t="s">
        <v>15</v>
      </c>
      <c r="F91" s="26">
        <f t="shared" ca="1" si="6"/>
        <v>57</v>
      </c>
      <c r="G91" s="27">
        <f t="shared" ca="1" si="7"/>
        <v>57</v>
      </c>
      <c r="H91" s="164">
        <f t="shared" ca="1" si="8"/>
        <v>56.68888888888889</v>
      </c>
      <c r="I91" s="164">
        <f t="shared" ca="1" si="9"/>
        <v>56.692676249144419</v>
      </c>
      <c r="J91" s="164">
        <f t="shared" ca="1" si="10"/>
        <v>56.692676249144419</v>
      </c>
      <c r="K91" s="27">
        <f t="shared" ca="1" si="11"/>
        <v>59</v>
      </c>
    </row>
    <row r="92" spans="1:11" x14ac:dyDescent="0.3">
      <c r="A92" s="24" t="s">
        <v>102</v>
      </c>
      <c r="B92" s="25">
        <v>25340</v>
      </c>
      <c r="C92" s="24">
        <v>471544</v>
      </c>
      <c r="D92" s="26">
        <v>96218</v>
      </c>
      <c r="E92" s="24" t="s">
        <v>13</v>
      </c>
      <c r="F92" s="26">
        <f t="shared" ca="1" si="6"/>
        <v>54</v>
      </c>
      <c r="G92" s="27">
        <f t="shared" ca="1" si="7"/>
        <v>54</v>
      </c>
      <c r="H92" s="164">
        <f t="shared" ca="1" si="8"/>
        <v>53.725000000000001</v>
      </c>
      <c r="I92" s="164">
        <f t="shared" ca="1" si="9"/>
        <v>53.730321697467488</v>
      </c>
      <c r="J92" s="164">
        <f t="shared" ca="1" si="10"/>
        <v>53.730321697467488</v>
      </c>
      <c r="K92" s="27">
        <f t="shared" ca="1" si="11"/>
        <v>59</v>
      </c>
    </row>
    <row r="93" spans="1:11" x14ac:dyDescent="0.3">
      <c r="A93" s="24" t="s">
        <v>103</v>
      </c>
      <c r="B93" s="25">
        <v>32305</v>
      </c>
      <c r="C93" s="24">
        <v>254002</v>
      </c>
      <c r="D93" s="26">
        <v>83085</v>
      </c>
      <c r="E93" s="24" t="s">
        <v>8</v>
      </c>
      <c r="F93" s="26">
        <f t="shared" ca="1" si="6"/>
        <v>35</v>
      </c>
      <c r="G93" s="27">
        <f t="shared" ca="1" si="7"/>
        <v>35</v>
      </c>
      <c r="H93" s="164">
        <f t="shared" ca="1" si="8"/>
        <v>34.658333333333331</v>
      </c>
      <c r="I93" s="164">
        <f t="shared" ca="1" si="9"/>
        <v>34.661190965092402</v>
      </c>
      <c r="J93" s="164">
        <f t="shared" ca="1" si="10"/>
        <v>34.661190965092402</v>
      </c>
      <c r="K93" s="27">
        <f t="shared" ca="1" si="11"/>
        <v>59</v>
      </c>
    </row>
    <row r="94" spans="1:11" x14ac:dyDescent="0.3">
      <c r="A94" s="24" t="s">
        <v>104</v>
      </c>
      <c r="B94" s="25">
        <v>29313</v>
      </c>
      <c r="C94" s="24">
        <v>317752</v>
      </c>
      <c r="D94" s="26">
        <v>135317</v>
      </c>
      <c r="E94" s="24" t="s">
        <v>8</v>
      </c>
      <c r="F94" s="26">
        <f t="shared" ca="1" si="6"/>
        <v>43</v>
      </c>
      <c r="G94" s="27">
        <f t="shared" ca="1" si="7"/>
        <v>43</v>
      </c>
      <c r="H94" s="164">
        <f t="shared" ca="1" si="8"/>
        <v>42.85</v>
      </c>
      <c r="I94" s="164">
        <f t="shared" ca="1" si="9"/>
        <v>42.852840520191648</v>
      </c>
      <c r="J94" s="164">
        <f t="shared" ca="1" si="10"/>
        <v>42.852840520191648</v>
      </c>
      <c r="K94" s="27">
        <f t="shared" ca="1" si="11"/>
        <v>59</v>
      </c>
    </row>
    <row r="95" spans="1:11" x14ac:dyDescent="0.3">
      <c r="A95" s="24" t="s">
        <v>105</v>
      </c>
      <c r="B95" s="25">
        <v>26381</v>
      </c>
      <c r="C95" s="24">
        <v>392311</v>
      </c>
      <c r="D95" s="26">
        <v>54647</v>
      </c>
      <c r="E95" s="24" t="s">
        <v>15</v>
      </c>
      <c r="F95" s="26">
        <f t="shared" ca="1" si="6"/>
        <v>51</v>
      </c>
      <c r="G95" s="27">
        <f t="shared" ca="1" si="7"/>
        <v>51</v>
      </c>
      <c r="H95" s="164">
        <f t="shared" ca="1" si="8"/>
        <v>50.875</v>
      </c>
      <c r="I95" s="164">
        <f t="shared" ca="1" si="9"/>
        <v>50.880219028062967</v>
      </c>
      <c r="J95" s="164">
        <f t="shared" ca="1" si="10"/>
        <v>50.880219028062967</v>
      </c>
      <c r="K95" s="27">
        <f t="shared" ca="1" si="11"/>
        <v>59</v>
      </c>
    </row>
    <row r="96" spans="1:11" x14ac:dyDescent="0.3">
      <c r="A96" s="24" t="s">
        <v>106</v>
      </c>
      <c r="B96" s="25">
        <v>24538</v>
      </c>
      <c r="C96" s="24">
        <v>558129</v>
      </c>
      <c r="D96" s="26">
        <v>187485</v>
      </c>
      <c r="E96" s="24" t="s">
        <v>8</v>
      </c>
      <c r="F96" s="26">
        <f t="shared" ca="1" si="6"/>
        <v>56</v>
      </c>
      <c r="G96" s="27">
        <f t="shared" ca="1" si="7"/>
        <v>56</v>
      </c>
      <c r="H96" s="164">
        <f t="shared" ca="1" si="8"/>
        <v>55.919444444444444</v>
      </c>
      <c r="I96" s="164">
        <f t="shared" ca="1" si="9"/>
        <v>55.926078028747433</v>
      </c>
      <c r="J96" s="164">
        <f t="shared" ca="1" si="10"/>
        <v>55.926078028747433</v>
      </c>
      <c r="K96" s="27">
        <f t="shared" ca="1" si="11"/>
        <v>59</v>
      </c>
    </row>
    <row r="97" spans="1:11" x14ac:dyDescent="0.3">
      <c r="A97" s="24" t="s">
        <v>107</v>
      </c>
      <c r="B97" s="25">
        <v>28214</v>
      </c>
      <c r="C97" s="24">
        <v>273119</v>
      </c>
      <c r="D97" s="26">
        <v>124206</v>
      </c>
      <c r="E97" s="24" t="s">
        <v>8</v>
      </c>
      <c r="F97" s="26">
        <f t="shared" ca="1" si="6"/>
        <v>46</v>
      </c>
      <c r="G97" s="27">
        <f t="shared" ca="1" si="7"/>
        <v>46</v>
      </c>
      <c r="H97" s="164">
        <f t="shared" ca="1" si="8"/>
        <v>45.855555555555554</v>
      </c>
      <c r="I97" s="164">
        <f t="shared" ca="1" si="9"/>
        <v>45.861738535249827</v>
      </c>
      <c r="J97" s="164">
        <f t="shared" ca="1" si="10"/>
        <v>45.861738535249827</v>
      </c>
      <c r="K97" s="27">
        <f t="shared" ca="1" si="11"/>
        <v>59</v>
      </c>
    </row>
    <row r="98" spans="1:11" x14ac:dyDescent="0.3">
      <c r="A98" s="24" t="s">
        <v>108</v>
      </c>
      <c r="B98" s="25">
        <v>29116</v>
      </c>
      <c r="C98" s="24">
        <v>450768</v>
      </c>
      <c r="D98" s="26">
        <v>44886</v>
      </c>
      <c r="E98" s="24" t="s">
        <v>17</v>
      </c>
      <c r="F98" s="26">
        <f t="shared" ca="1" si="6"/>
        <v>44</v>
      </c>
      <c r="G98" s="27">
        <f t="shared" ca="1" si="7"/>
        <v>44</v>
      </c>
      <c r="H98" s="164">
        <f t="shared" ca="1" si="8"/>
        <v>43.388888888888886</v>
      </c>
      <c r="I98" s="164">
        <f t="shared" ca="1" si="9"/>
        <v>43.392197125256672</v>
      </c>
      <c r="J98" s="164">
        <f t="shared" ca="1" si="10"/>
        <v>43.392197125256672</v>
      </c>
      <c r="K98" s="27">
        <f t="shared" ca="1" si="11"/>
        <v>59</v>
      </c>
    </row>
    <row r="99" spans="1:11" x14ac:dyDescent="0.3">
      <c r="A99" s="24" t="s">
        <v>109</v>
      </c>
      <c r="B99" s="25">
        <v>23493</v>
      </c>
      <c r="C99" s="24">
        <v>519731</v>
      </c>
      <c r="D99" s="26">
        <v>175186</v>
      </c>
      <c r="E99" s="24" t="s">
        <v>8</v>
      </c>
      <c r="F99" s="26">
        <f t="shared" ca="1" si="6"/>
        <v>59</v>
      </c>
      <c r="G99" s="27">
        <f t="shared" ca="1" si="7"/>
        <v>59</v>
      </c>
      <c r="H99" s="164">
        <f t="shared" ca="1" si="8"/>
        <v>58.783333333333331</v>
      </c>
      <c r="I99" s="164">
        <f t="shared" ca="1" si="9"/>
        <v>58.787132101300479</v>
      </c>
      <c r="J99" s="164">
        <f t="shared" ca="1" si="10"/>
        <v>58.787132101300479</v>
      </c>
      <c r="K99" s="27">
        <f t="shared" ca="1" si="11"/>
        <v>59</v>
      </c>
    </row>
    <row r="100" spans="1:11" x14ac:dyDescent="0.3">
      <c r="A100" s="24" t="s">
        <v>110</v>
      </c>
      <c r="B100" s="25">
        <v>26357</v>
      </c>
      <c r="C100" s="24">
        <v>310130</v>
      </c>
      <c r="D100" s="26">
        <v>123502</v>
      </c>
      <c r="E100" s="24" t="s">
        <v>15</v>
      </c>
      <c r="F100" s="26">
        <f t="shared" ca="1" si="6"/>
        <v>51</v>
      </c>
      <c r="G100" s="27">
        <f t="shared" ca="1" si="7"/>
        <v>51</v>
      </c>
      <c r="H100" s="164">
        <f t="shared" ca="1" si="8"/>
        <v>50.944444444444443</v>
      </c>
      <c r="I100" s="164">
        <f t="shared" ca="1" si="9"/>
        <v>50.945927446954144</v>
      </c>
      <c r="J100" s="164">
        <f t="shared" ca="1" si="10"/>
        <v>50.945927446954144</v>
      </c>
      <c r="K100" s="27">
        <f t="shared" ca="1" si="11"/>
        <v>59</v>
      </c>
    </row>
    <row r="101" spans="1:11" x14ac:dyDescent="0.3">
      <c r="A101" s="24" t="s">
        <v>111</v>
      </c>
      <c r="B101" s="25">
        <v>32547</v>
      </c>
      <c r="C101" s="24">
        <v>270412</v>
      </c>
      <c r="D101" s="26">
        <v>62676</v>
      </c>
      <c r="E101" s="24" t="s">
        <v>10</v>
      </c>
      <c r="F101" s="26">
        <f t="shared" ca="1" si="6"/>
        <v>34</v>
      </c>
      <c r="G101" s="27">
        <f t="shared" ca="1" si="7"/>
        <v>34</v>
      </c>
      <c r="H101" s="164">
        <f ca="1">YEARFRAC(B101,TODAY())</f>
        <v>34</v>
      </c>
      <c r="I101" s="164">
        <f ca="1">(TODAY()-B101)/365.25</f>
        <v>33.998631074606436</v>
      </c>
      <c r="J101" s="164">
        <f ca="1">_xlfn.DAYS(TODAY(),B101)/365.25</f>
        <v>33.998631074606436</v>
      </c>
      <c r="K101" s="27">
        <f ca="1">YEAR(NOW())-1964</f>
        <v>59</v>
      </c>
    </row>
  </sheetData>
  <hyperlinks>
    <hyperlink ref="N1" location="Obsah!A1" display="Obsah"/>
  </hyperlinks>
  <pageMargins left="0.7" right="0.7" top="0.78740157499999996" bottom="0.78740157499999996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rgb="FFFFFF00"/>
  </sheetPr>
  <dimension ref="A1:I20"/>
  <sheetViews>
    <sheetView workbookViewId="0">
      <selection activeCell="I1" sqref="I1"/>
    </sheetView>
  </sheetViews>
  <sheetFormatPr defaultRowHeight="14.4" x14ac:dyDescent="0.3"/>
  <cols>
    <col min="1" max="3" width="11.5546875" customWidth="1"/>
  </cols>
  <sheetData>
    <row r="1" spans="1:9" ht="28.8" x14ac:dyDescent="0.3">
      <c r="A1" t="s">
        <v>126</v>
      </c>
      <c r="B1">
        <v>21</v>
      </c>
      <c r="C1" s="89" t="s">
        <v>585</v>
      </c>
      <c r="D1" s="90" t="s">
        <v>126</v>
      </c>
      <c r="E1" s="90" t="s">
        <v>127</v>
      </c>
      <c r="F1" s="91" t="s">
        <v>586</v>
      </c>
      <c r="G1" s="92" t="s">
        <v>587</v>
      </c>
      <c r="I1" s="182" t="s">
        <v>1148</v>
      </c>
    </row>
    <row r="2" spans="1:9" x14ac:dyDescent="0.3">
      <c r="A2" t="s">
        <v>127</v>
      </c>
      <c r="B2">
        <v>15</v>
      </c>
      <c r="C2" s="93">
        <v>300</v>
      </c>
      <c r="D2" s="94">
        <f t="shared" ref="D2:D20" si="0">C2/100*DPH</f>
        <v>63</v>
      </c>
      <c r="E2" s="94">
        <f t="shared" ref="E2:E20" si="1">C2/100*DPHn</f>
        <v>45</v>
      </c>
      <c r="F2" s="94">
        <f t="shared" ref="F2:F20" si="2">C2*DPH/100+C2</f>
        <v>363</v>
      </c>
      <c r="G2" s="95">
        <f t="shared" ref="G2:G20" si="3">C2*DPHn/100+C2</f>
        <v>345</v>
      </c>
    </row>
    <row r="3" spans="1:9" x14ac:dyDescent="0.3">
      <c r="C3" s="93">
        <v>150</v>
      </c>
      <c r="D3" s="94">
        <f t="shared" si="0"/>
        <v>31.5</v>
      </c>
      <c r="E3" s="94">
        <f t="shared" si="1"/>
        <v>22.5</v>
      </c>
      <c r="F3" s="94">
        <f t="shared" si="2"/>
        <v>181.5</v>
      </c>
      <c r="G3" s="95">
        <f t="shared" si="3"/>
        <v>172.5</v>
      </c>
    </row>
    <row r="4" spans="1:9" x14ac:dyDescent="0.3">
      <c r="C4" s="93">
        <v>400</v>
      </c>
      <c r="D4" s="94">
        <f t="shared" si="0"/>
        <v>84</v>
      </c>
      <c r="E4" s="94">
        <f t="shared" si="1"/>
        <v>60</v>
      </c>
      <c r="F4" s="94">
        <f t="shared" si="2"/>
        <v>484</v>
      </c>
      <c r="G4" s="95">
        <f t="shared" si="3"/>
        <v>460</v>
      </c>
    </row>
    <row r="5" spans="1:9" x14ac:dyDescent="0.3">
      <c r="C5" s="93">
        <v>650</v>
      </c>
      <c r="D5" s="94">
        <f t="shared" si="0"/>
        <v>136.5</v>
      </c>
      <c r="E5" s="94">
        <f t="shared" si="1"/>
        <v>97.5</v>
      </c>
      <c r="F5" s="94">
        <f t="shared" si="2"/>
        <v>786.5</v>
      </c>
      <c r="G5" s="95">
        <f t="shared" si="3"/>
        <v>747.5</v>
      </c>
    </row>
    <row r="6" spans="1:9" x14ac:dyDescent="0.3">
      <c r="C6" s="93">
        <v>900</v>
      </c>
      <c r="D6" s="94">
        <f t="shared" si="0"/>
        <v>189</v>
      </c>
      <c r="E6" s="94">
        <f t="shared" si="1"/>
        <v>135</v>
      </c>
      <c r="F6" s="94">
        <f t="shared" si="2"/>
        <v>1089</v>
      </c>
      <c r="G6" s="95">
        <f t="shared" si="3"/>
        <v>1035</v>
      </c>
    </row>
    <row r="7" spans="1:9" x14ac:dyDescent="0.3">
      <c r="C7" s="93">
        <v>1150</v>
      </c>
      <c r="D7" s="94">
        <f t="shared" si="0"/>
        <v>241.5</v>
      </c>
      <c r="E7" s="94">
        <f t="shared" si="1"/>
        <v>172.5</v>
      </c>
      <c r="F7" s="94">
        <f t="shared" si="2"/>
        <v>1391.5</v>
      </c>
      <c r="G7" s="95">
        <f t="shared" si="3"/>
        <v>1322.5</v>
      </c>
    </row>
    <row r="8" spans="1:9" x14ac:dyDescent="0.3">
      <c r="C8" s="93">
        <v>1400</v>
      </c>
      <c r="D8" s="94">
        <f t="shared" si="0"/>
        <v>294</v>
      </c>
      <c r="E8" s="94">
        <f t="shared" si="1"/>
        <v>210</v>
      </c>
      <c r="F8" s="94">
        <f t="shared" si="2"/>
        <v>1694</v>
      </c>
      <c r="G8" s="95">
        <f t="shared" si="3"/>
        <v>1610</v>
      </c>
    </row>
    <row r="9" spans="1:9" x14ac:dyDescent="0.3">
      <c r="C9" s="93">
        <v>1650</v>
      </c>
      <c r="D9" s="94">
        <f t="shared" si="0"/>
        <v>346.5</v>
      </c>
      <c r="E9" s="94">
        <f t="shared" si="1"/>
        <v>247.5</v>
      </c>
      <c r="F9" s="94">
        <f t="shared" si="2"/>
        <v>1996.5</v>
      </c>
      <c r="G9" s="95">
        <f t="shared" si="3"/>
        <v>1897.5</v>
      </c>
    </row>
    <row r="10" spans="1:9" x14ac:dyDescent="0.3">
      <c r="C10" s="93">
        <v>1900</v>
      </c>
      <c r="D10" s="94">
        <f t="shared" si="0"/>
        <v>399</v>
      </c>
      <c r="E10" s="94">
        <f t="shared" si="1"/>
        <v>285</v>
      </c>
      <c r="F10" s="94">
        <f t="shared" si="2"/>
        <v>2299</v>
      </c>
      <c r="G10" s="95">
        <f t="shared" si="3"/>
        <v>2185</v>
      </c>
    </row>
    <row r="11" spans="1:9" x14ac:dyDescent="0.3">
      <c r="C11" s="93">
        <v>2150</v>
      </c>
      <c r="D11" s="94">
        <f t="shared" si="0"/>
        <v>451.5</v>
      </c>
      <c r="E11" s="94">
        <f t="shared" si="1"/>
        <v>322.5</v>
      </c>
      <c r="F11" s="94">
        <f t="shared" si="2"/>
        <v>2601.5</v>
      </c>
      <c r="G11" s="95">
        <f t="shared" si="3"/>
        <v>2472.5</v>
      </c>
    </row>
    <row r="12" spans="1:9" x14ac:dyDescent="0.3">
      <c r="C12" s="93">
        <v>2400</v>
      </c>
      <c r="D12" s="94">
        <f t="shared" si="0"/>
        <v>504</v>
      </c>
      <c r="E12" s="94">
        <f t="shared" si="1"/>
        <v>360</v>
      </c>
      <c r="F12" s="94">
        <f t="shared" si="2"/>
        <v>2904</v>
      </c>
      <c r="G12" s="95">
        <f t="shared" si="3"/>
        <v>2760</v>
      </c>
    </row>
    <row r="13" spans="1:9" x14ac:dyDescent="0.3">
      <c r="C13" s="93">
        <v>2650</v>
      </c>
      <c r="D13" s="94">
        <f t="shared" si="0"/>
        <v>556.5</v>
      </c>
      <c r="E13" s="94">
        <f t="shared" si="1"/>
        <v>397.5</v>
      </c>
      <c r="F13" s="94">
        <f t="shared" si="2"/>
        <v>3206.5</v>
      </c>
      <c r="G13" s="95">
        <f t="shared" si="3"/>
        <v>3047.5</v>
      </c>
    </row>
    <row r="14" spans="1:9" x14ac:dyDescent="0.3">
      <c r="C14" s="93">
        <v>2900</v>
      </c>
      <c r="D14" s="94">
        <f t="shared" si="0"/>
        <v>609</v>
      </c>
      <c r="E14" s="94">
        <f t="shared" si="1"/>
        <v>435</v>
      </c>
      <c r="F14" s="94">
        <f t="shared" si="2"/>
        <v>3509</v>
      </c>
      <c r="G14" s="95">
        <f t="shared" si="3"/>
        <v>3335</v>
      </c>
    </row>
    <row r="15" spans="1:9" x14ac:dyDescent="0.3">
      <c r="C15" s="93">
        <v>3150</v>
      </c>
      <c r="D15" s="94">
        <f t="shared" si="0"/>
        <v>661.5</v>
      </c>
      <c r="E15" s="94">
        <f t="shared" si="1"/>
        <v>472.5</v>
      </c>
      <c r="F15" s="94">
        <f t="shared" si="2"/>
        <v>3811.5</v>
      </c>
      <c r="G15" s="95">
        <f t="shared" si="3"/>
        <v>3622.5</v>
      </c>
    </row>
    <row r="16" spans="1:9" x14ac:dyDescent="0.3">
      <c r="C16" s="93">
        <v>3400</v>
      </c>
      <c r="D16" s="94">
        <f t="shared" si="0"/>
        <v>714</v>
      </c>
      <c r="E16" s="94">
        <f t="shared" si="1"/>
        <v>510</v>
      </c>
      <c r="F16" s="94">
        <f t="shared" si="2"/>
        <v>4114</v>
      </c>
      <c r="G16" s="95">
        <f t="shared" si="3"/>
        <v>3910</v>
      </c>
    </row>
    <row r="17" spans="3:7" x14ac:dyDescent="0.3">
      <c r="C17" s="93">
        <v>3650</v>
      </c>
      <c r="D17" s="94">
        <f t="shared" si="0"/>
        <v>766.5</v>
      </c>
      <c r="E17" s="94">
        <f t="shared" si="1"/>
        <v>547.5</v>
      </c>
      <c r="F17" s="94">
        <f t="shared" si="2"/>
        <v>4416.5</v>
      </c>
      <c r="G17" s="95">
        <f t="shared" si="3"/>
        <v>4197.5</v>
      </c>
    </row>
    <row r="18" spans="3:7" x14ac:dyDescent="0.3">
      <c r="C18" s="93">
        <v>3900</v>
      </c>
      <c r="D18" s="94">
        <f t="shared" si="0"/>
        <v>819</v>
      </c>
      <c r="E18" s="94">
        <f t="shared" si="1"/>
        <v>585</v>
      </c>
      <c r="F18" s="94">
        <f t="shared" si="2"/>
        <v>4719</v>
      </c>
      <c r="G18" s="95">
        <f t="shared" si="3"/>
        <v>4485</v>
      </c>
    </row>
    <row r="19" spans="3:7" x14ac:dyDescent="0.3">
      <c r="C19" s="93">
        <v>4150</v>
      </c>
      <c r="D19" s="94">
        <f t="shared" si="0"/>
        <v>871.5</v>
      </c>
      <c r="E19" s="94">
        <f t="shared" si="1"/>
        <v>622.5</v>
      </c>
      <c r="F19" s="94">
        <f t="shared" si="2"/>
        <v>5021.5</v>
      </c>
      <c r="G19" s="95">
        <f t="shared" si="3"/>
        <v>4772.5</v>
      </c>
    </row>
    <row r="20" spans="3:7" x14ac:dyDescent="0.3">
      <c r="C20" s="96">
        <v>4400</v>
      </c>
      <c r="D20" s="97">
        <f t="shared" si="0"/>
        <v>924</v>
      </c>
      <c r="E20" s="97">
        <f t="shared" si="1"/>
        <v>660</v>
      </c>
      <c r="F20" s="97">
        <f t="shared" si="2"/>
        <v>5324</v>
      </c>
      <c r="G20" s="98">
        <f t="shared" si="3"/>
        <v>5060</v>
      </c>
    </row>
  </sheetData>
  <hyperlinks>
    <hyperlink ref="I1" location="Obsah!A1" display="Obsah"/>
  </hyperlinks>
  <pageMargins left="0.7" right="0.7" top="0.78740157499999996" bottom="0.78740157499999996" header="0.3" footer="0.3"/>
  <pageSetup paperSize="9" orientation="portrait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rgb="FFFFFF00"/>
  </sheetPr>
  <dimension ref="C1:J20"/>
  <sheetViews>
    <sheetView topLeftCell="C1" workbookViewId="0">
      <selection activeCell="J1" sqref="J1"/>
    </sheetView>
  </sheetViews>
  <sheetFormatPr defaultRowHeight="14.4" x14ac:dyDescent="0.3"/>
  <cols>
    <col min="1" max="2" width="0" hidden="1" customWidth="1"/>
  </cols>
  <sheetData>
    <row r="1" spans="3:10" ht="28.8" x14ac:dyDescent="0.3">
      <c r="C1" s="89" t="s">
        <v>585</v>
      </c>
      <c r="D1" s="90" t="s">
        <v>126</v>
      </c>
      <c r="E1" s="90" t="s">
        <v>127</v>
      </c>
      <c r="F1" s="91" t="s">
        <v>586</v>
      </c>
      <c r="G1" s="92" t="s">
        <v>587</v>
      </c>
      <c r="J1" s="182" t="s">
        <v>1148</v>
      </c>
    </row>
    <row r="2" spans="3:10" x14ac:dyDescent="0.3">
      <c r="C2" s="93">
        <v>4900</v>
      </c>
      <c r="D2" s="94">
        <f t="shared" ref="D2:D20" si="0">C2/100*DPH</f>
        <v>1029</v>
      </c>
      <c r="E2" s="94">
        <f t="shared" ref="E2:E20" si="1">C2/100*DPHn</f>
        <v>735</v>
      </c>
      <c r="F2" s="94">
        <f t="shared" ref="F2:F20" si="2">C2*DPH/100+C2</f>
        <v>5929</v>
      </c>
      <c r="G2" s="95">
        <f t="shared" ref="G2:G20" si="3">C2*DPHn/100+C2</f>
        <v>5635</v>
      </c>
    </row>
    <row r="3" spans="3:10" x14ac:dyDescent="0.3">
      <c r="C3" s="93">
        <v>4580</v>
      </c>
      <c r="D3" s="94">
        <f t="shared" si="0"/>
        <v>961.8</v>
      </c>
      <c r="E3" s="94">
        <f t="shared" si="1"/>
        <v>687</v>
      </c>
      <c r="F3" s="94">
        <f t="shared" si="2"/>
        <v>5541.8</v>
      </c>
      <c r="G3" s="95">
        <f t="shared" si="3"/>
        <v>5267</v>
      </c>
    </row>
    <row r="4" spans="3:10" x14ac:dyDescent="0.3">
      <c r="C4" s="93">
        <v>4700</v>
      </c>
      <c r="D4" s="94">
        <f t="shared" si="0"/>
        <v>987</v>
      </c>
      <c r="E4" s="94">
        <f t="shared" si="1"/>
        <v>705</v>
      </c>
      <c r="F4" s="94">
        <f t="shared" si="2"/>
        <v>5687</v>
      </c>
      <c r="G4" s="95">
        <f t="shared" si="3"/>
        <v>5405</v>
      </c>
    </row>
    <row r="5" spans="3:10" x14ac:dyDescent="0.3">
      <c r="C5" s="93">
        <v>4950</v>
      </c>
      <c r="D5" s="94">
        <f t="shared" si="0"/>
        <v>1039.5</v>
      </c>
      <c r="E5" s="94">
        <f t="shared" si="1"/>
        <v>742.5</v>
      </c>
      <c r="F5" s="94">
        <f t="shared" si="2"/>
        <v>5989.5</v>
      </c>
      <c r="G5" s="95">
        <f t="shared" si="3"/>
        <v>5692.5</v>
      </c>
    </row>
    <row r="6" spans="3:10" x14ac:dyDescent="0.3">
      <c r="C6" s="93">
        <v>5200</v>
      </c>
      <c r="D6" s="94">
        <f t="shared" si="0"/>
        <v>1092</v>
      </c>
      <c r="E6" s="94">
        <f t="shared" si="1"/>
        <v>780</v>
      </c>
      <c r="F6" s="94">
        <f t="shared" si="2"/>
        <v>6292</v>
      </c>
      <c r="G6" s="95">
        <f t="shared" si="3"/>
        <v>5980</v>
      </c>
    </row>
    <row r="7" spans="3:10" x14ac:dyDescent="0.3">
      <c r="C7" s="93">
        <v>5450</v>
      </c>
      <c r="D7" s="94">
        <f t="shared" si="0"/>
        <v>1144.5</v>
      </c>
      <c r="E7" s="94">
        <f t="shared" si="1"/>
        <v>817.5</v>
      </c>
      <c r="F7" s="94">
        <f t="shared" si="2"/>
        <v>6594.5</v>
      </c>
      <c r="G7" s="95">
        <f t="shared" si="3"/>
        <v>6267.5</v>
      </c>
    </row>
    <row r="8" spans="3:10" x14ac:dyDescent="0.3">
      <c r="C8" s="93">
        <v>5700</v>
      </c>
      <c r="D8" s="94">
        <f t="shared" si="0"/>
        <v>1197</v>
      </c>
      <c r="E8" s="94">
        <f t="shared" si="1"/>
        <v>855</v>
      </c>
      <c r="F8" s="94">
        <f t="shared" si="2"/>
        <v>6897</v>
      </c>
      <c r="G8" s="95">
        <f t="shared" si="3"/>
        <v>6555</v>
      </c>
    </row>
    <row r="9" spans="3:10" x14ac:dyDescent="0.3">
      <c r="C9" s="93">
        <v>5950</v>
      </c>
      <c r="D9" s="94">
        <f t="shared" si="0"/>
        <v>1249.5</v>
      </c>
      <c r="E9" s="94">
        <f t="shared" si="1"/>
        <v>892.5</v>
      </c>
      <c r="F9" s="94">
        <f t="shared" si="2"/>
        <v>7199.5</v>
      </c>
      <c r="G9" s="95">
        <f t="shared" si="3"/>
        <v>6842.5</v>
      </c>
    </row>
    <row r="10" spans="3:10" x14ac:dyDescent="0.3">
      <c r="C10" s="93">
        <v>6200</v>
      </c>
      <c r="D10" s="94">
        <f t="shared" si="0"/>
        <v>1302</v>
      </c>
      <c r="E10" s="94">
        <f t="shared" si="1"/>
        <v>930</v>
      </c>
      <c r="F10" s="94">
        <f t="shared" si="2"/>
        <v>7502</v>
      </c>
      <c r="G10" s="95">
        <f t="shared" si="3"/>
        <v>7130</v>
      </c>
    </row>
    <row r="11" spans="3:10" x14ac:dyDescent="0.3">
      <c r="C11" s="93">
        <v>6450</v>
      </c>
      <c r="D11" s="94">
        <f t="shared" si="0"/>
        <v>1354.5</v>
      </c>
      <c r="E11" s="94">
        <f t="shared" si="1"/>
        <v>967.5</v>
      </c>
      <c r="F11" s="94">
        <f t="shared" si="2"/>
        <v>7804.5</v>
      </c>
      <c r="G11" s="95">
        <f t="shared" si="3"/>
        <v>7417.5</v>
      </c>
    </row>
    <row r="12" spans="3:10" x14ac:dyDescent="0.3">
      <c r="C12" s="93">
        <v>6700</v>
      </c>
      <c r="D12" s="94">
        <f t="shared" si="0"/>
        <v>1407</v>
      </c>
      <c r="E12" s="94">
        <f t="shared" si="1"/>
        <v>1005</v>
      </c>
      <c r="F12" s="94">
        <f t="shared" si="2"/>
        <v>8107</v>
      </c>
      <c r="G12" s="95">
        <f t="shared" si="3"/>
        <v>7705</v>
      </c>
    </row>
    <row r="13" spans="3:10" x14ac:dyDescent="0.3">
      <c r="C13" s="93">
        <v>6950</v>
      </c>
      <c r="D13" s="94">
        <f t="shared" si="0"/>
        <v>1459.5</v>
      </c>
      <c r="E13" s="94">
        <f t="shared" si="1"/>
        <v>1042.5</v>
      </c>
      <c r="F13" s="94">
        <f t="shared" si="2"/>
        <v>8409.5</v>
      </c>
      <c r="G13" s="95">
        <f t="shared" si="3"/>
        <v>7992.5</v>
      </c>
    </row>
    <row r="14" spans="3:10" x14ac:dyDescent="0.3">
      <c r="C14" s="93">
        <v>7200</v>
      </c>
      <c r="D14" s="94">
        <f t="shared" si="0"/>
        <v>1512</v>
      </c>
      <c r="E14" s="94">
        <f t="shared" si="1"/>
        <v>1080</v>
      </c>
      <c r="F14" s="94">
        <f t="shared" si="2"/>
        <v>8712</v>
      </c>
      <c r="G14" s="95">
        <f t="shared" si="3"/>
        <v>8280</v>
      </c>
    </row>
    <row r="15" spans="3:10" x14ac:dyDescent="0.3">
      <c r="C15" s="93">
        <v>7450</v>
      </c>
      <c r="D15" s="94">
        <f t="shared" si="0"/>
        <v>1564.5</v>
      </c>
      <c r="E15" s="94">
        <f t="shared" si="1"/>
        <v>1117.5</v>
      </c>
      <c r="F15" s="94">
        <f t="shared" si="2"/>
        <v>9014.5</v>
      </c>
      <c r="G15" s="95">
        <f t="shared" si="3"/>
        <v>8567.5</v>
      </c>
    </row>
    <row r="16" spans="3:10" x14ac:dyDescent="0.3">
      <c r="C16" s="93">
        <v>7700</v>
      </c>
      <c r="D16" s="94">
        <f t="shared" si="0"/>
        <v>1617</v>
      </c>
      <c r="E16" s="94">
        <f t="shared" si="1"/>
        <v>1155</v>
      </c>
      <c r="F16" s="94">
        <f t="shared" si="2"/>
        <v>9317</v>
      </c>
      <c r="G16" s="95">
        <f t="shared" si="3"/>
        <v>8855</v>
      </c>
    </row>
    <row r="17" spans="3:7" x14ac:dyDescent="0.3">
      <c r="C17" s="93">
        <v>7950</v>
      </c>
      <c r="D17" s="94">
        <f t="shared" si="0"/>
        <v>1669.5</v>
      </c>
      <c r="E17" s="94">
        <f t="shared" si="1"/>
        <v>1192.5</v>
      </c>
      <c r="F17" s="94">
        <f t="shared" si="2"/>
        <v>9619.5</v>
      </c>
      <c r="G17" s="95">
        <f t="shared" si="3"/>
        <v>9142.5</v>
      </c>
    </row>
    <row r="18" spans="3:7" x14ac:dyDescent="0.3">
      <c r="C18" s="93">
        <v>8200</v>
      </c>
      <c r="D18" s="94">
        <f t="shared" si="0"/>
        <v>1722</v>
      </c>
      <c r="E18" s="94">
        <f t="shared" si="1"/>
        <v>1230</v>
      </c>
      <c r="F18" s="94">
        <f t="shared" si="2"/>
        <v>9922</v>
      </c>
      <c r="G18" s="95">
        <f t="shared" si="3"/>
        <v>9430</v>
      </c>
    </row>
    <row r="19" spans="3:7" x14ac:dyDescent="0.3">
      <c r="C19" s="93">
        <v>8580</v>
      </c>
      <c r="D19" s="94">
        <f t="shared" si="0"/>
        <v>1801.8</v>
      </c>
      <c r="E19" s="94">
        <f t="shared" si="1"/>
        <v>1287</v>
      </c>
      <c r="F19" s="94">
        <f t="shared" si="2"/>
        <v>10381.799999999999</v>
      </c>
      <c r="G19" s="95">
        <f t="shared" si="3"/>
        <v>9867</v>
      </c>
    </row>
    <row r="20" spans="3:7" x14ac:dyDescent="0.3">
      <c r="C20" s="96">
        <v>9000</v>
      </c>
      <c r="D20" s="97">
        <f t="shared" si="0"/>
        <v>1890</v>
      </c>
      <c r="E20" s="97">
        <f t="shared" si="1"/>
        <v>1350</v>
      </c>
      <c r="F20" s="97">
        <f t="shared" si="2"/>
        <v>10890</v>
      </c>
      <c r="G20" s="98">
        <f t="shared" si="3"/>
        <v>10350</v>
      </c>
    </row>
  </sheetData>
  <hyperlinks>
    <hyperlink ref="J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rgb="FFFFFF00"/>
  </sheetPr>
  <dimension ref="C1:J20"/>
  <sheetViews>
    <sheetView topLeftCell="C1" workbookViewId="0">
      <selection activeCell="J1" sqref="J1"/>
    </sheetView>
  </sheetViews>
  <sheetFormatPr defaultRowHeight="14.4" x14ac:dyDescent="0.3"/>
  <cols>
    <col min="1" max="2" width="0" hidden="1" customWidth="1"/>
  </cols>
  <sheetData>
    <row r="1" spans="3:10" ht="28.8" x14ac:dyDescent="0.3">
      <c r="C1" s="89" t="s">
        <v>585</v>
      </c>
      <c r="D1" s="90" t="s">
        <v>126</v>
      </c>
      <c r="E1" s="90" t="s">
        <v>127</v>
      </c>
      <c r="F1" s="91" t="s">
        <v>586</v>
      </c>
      <c r="G1" s="92" t="s">
        <v>587</v>
      </c>
      <c r="J1" s="182" t="s">
        <v>1148</v>
      </c>
    </row>
    <row r="2" spans="3:10" x14ac:dyDescent="0.3">
      <c r="C2" s="93">
        <v>600</v>
      </c>
      <c r="D2" s="94">
        <f t="shared" ref="D2:D20" si="0">C2/100*DPH</f>
        <v>126</v>
      </c>
      <c r="E2" s="94">
        <f t="shared" ref="E2:E20" si="1">C2/100*DPHn</f>
        <v>90</v>
      </c>
      <c r="F2" s="94">
        <f t="shared" ref="F2:F20" si="2">C2*DPH/100+C2</f>
        <v>726</v>
      </c>
      <c r="G2" s="95">
        <f t="shared" ref="G2:G20" si="3">C2*DPHn/100+C2</f>
        <v>690</v>
      </c>
    </row>
    <row r="3" spans="3:10" x14ac:dyDescent="0.3">
      <c r="C3" s="93">
        <v>300</v>
      </c>
      <c r="D3" s="94">
        <f t="shared" si="0"/>
        <v>63</v>
      </c>
      <c r="E3" s="94">
        <f t="shared" si="1"/>
        <v>45</v>
      </c>
      <c r="F3" s="94">
        <f t="shared" si="2"/>
        <v>363</v>
      </c>
      <c r="G3" s="95">
        <f t="shared" si="3"/>
        <v>345</v>
      </c>
    </row>
    <row r="4" spans="3:10" x14ac:dyDescent="0.3">
      <c r="C4" s="93">
        <v>800</v>
      </c>
      <c r="D4" s="94">
        <f t="shared" si="0"/>
        <v>168</v>
      </c>
      <c r="E4" s="94">
        <f t="shared" si="1"/>
        <v>120</v>
      </c>
      <c r="F4" s="94">
        <f t="shared" si="2"/>
        <v>968</v>
      </c>
      <c r="G4" s="95">
        <f t="shared" si="3"/>
        <v>920</v>
      </c>
    </row>
    <row r="5" spans="3:10" x14ac:dyDescent="0.3">
      <c r="C5" s="93">
        <v>1300</v>
      </c>
      <c r="D5" s="94">
        <f t="shared" si="0"/>
        <v>273</v>
      </c>
      <c r="E5" s="94">
        <f t="shared" si="1"/>
        <v>195</v>
      </c>
      <c r="F5" s="94">
        <f t="shared" si="2"/>
        <v>1573</v>
      </c>
      <c r="G5" s="95">
        <f t="shared" si="3"/>
        <v>1495</v>
      </c>
    </row>
    <row r="6" spans="3:10" x14ac:dyDescent="0.3">
      <c r="C6" s="93">
        <v>1800</v>
      </c>
      <c r="D6" s="94">
        <f t="shared" si="0"/>
        <v>378</v>
      </c>
      <c r="E6" s="94">
        <f t="shared" si="1"/>
        <v>270</v>
      </c>
      <c r="F6" s="94">
        <f t="shared" si="2"/>
        <v>2178</v>
      </c>
      <c r="G6" s="95">
        <f t="shared" si="3"/>
        <v>2070</v>
      </c>
    </row>
    <row r="7" spans="3:10" x14ac:dyDescent="0.3">
      <c r="C7" s="93">
        <v>2300</v>
      </c>
      <c r="D7" s="94">
        <f t="shared" si="0"/>
        <v>483</v>
      </c>
      <c r="E7" s="94">
        <f t="shared" si="1"/>
        <v>345</v>
      </c>
      <c r="F7" s="94">
        <f t="shared" si="2"/>
        <v>2783</v>
      </c>
      <c r="G7" s="95">
        <f t="shared" si="3"/>
        <v>2645</v>
      </c>
    </row>
    <row r="8" spans="3:10" x14ac:dyDescent="0.3">
      <c r="C8" s="93">
        <v>2800</v>
      </c>
      <c r="D8" s="94">
        <f t="shared" si="0"/>
        <v>588</v>
      </c>
      <c r="E8" s="94">
        <f t="shared" si="1"/>
        <v>420</v>
      </c>
      <c r="F8" s="94">
        <f t="shared" si="2"/>
        <v>3388</v>
      </c>
      <c r="G8" s="95">
        <f t="shared" si="3"/>
        <v>3220</v>
      </c>
    </row>
    <row r="9" spans="3:10" x14ac:dyDescent="0.3">
      <c r="C9" s="93">
        <v>3300</v>
      </c>
      <c r="D9" s="94">
        <f t="shared" si="0"/>
        <v>693</v>
      </c>
      <c r="E9" s="94">
        <f t="shared" si="1"/>
        <v>495</v>
      </c>
      <c r="F9" s="94">
        <f t="shared" si="2"/>
        <v>3993</v>
      </c>
      <c r="G9" s="95">
        <f t="shared" si="3"/>
        <v>3795</v>
      </c>
    </row>
    <row r="10" spans="3:10" x14ac:dyDescent="0.3">
      <c r="C10" s="93">
        <v>3800</v>
      </c>
      <c r="D10" s="94">
        <f t="shared" si="0"/>
        <v>798</v>
      </c>
      <c r="E10" s="94">
        <f t="shared" si="1"/>
        <v>570</v>
      </c>
      <c r="F10" s="94">
        <f t="shared" si="2"/>
        <v>4598</v>
      </c>
      <c r="G10" s="95">
        <f t="shared" si="3"/>
        <v>4370</v>
      </c>
    </row>
    <row r="11" spans="3:10" x14ac:dyDescent="0.3">
      <c r="C11" s="93">
        <v>4300</v>
      </c>
      <c r="D11" s="94">
        <f t="shared" si="0"/>
        <v>903</v>
      </c>
      <c r="E11" s="94">
        <f t="shared" si="1"/>
        <v>645</v>
      </c>
      <c r="F11" s="94">
        <f t="shared" si="2"/>
        <v>5203</v>
      </c>
      <c r="G11" s="95">
        <f t="shared" si="3"/>
        <v>4945</v>
      </c>
    </row>
    <row r="12" spans="3:10" x14ac:dyDescent="0.3">
      <c r="C12" s="93">
        <v>4800</v>
      </c>
      <c r="D12" s="94">
        <f t="shared" si="0"/>
        <v>1008</v>
      </c>
      <c r="E12" s="94">
        <f t="shared" si="1"/>
        <v>720</v>
      </c>
      <c r="F12" s="94">
        <f t="shared" si="2"/>
        <v>5808</v>
      </c>
      <c r="G12" s="95">
        <f t="shared" si="3"/>
        <v>5520</v>
      </c>
    </row>
    <row r="13" spans="3:10" x14ac:dyDescent="0.3">
      <c r="C13" s="93">
        <v>5300</v>
      </c>
      <c r="D13" s="94">
        <f t="shared" si="0"/>
        <v>1113</v>
      </c>
      <c r="E13" s="94">
        <f t="shared" si="1"/>
        <v>795</v>
      </c>
      <c r="F13" s="94">
        <f t="shared" si="2"/>
        <v>6413</v>
      </c>
      <c r="G13" s="95">
        <f t="shared" si="3"/>
        <v>6095</v>
      </c>
    </row>
    <row r="14" spans="3:10" x14ac:dyDescent="0.3">
      <c r="C14" s="93">
        <v>5800</v>
      </c>
      <c r="D14" s="94">
        <f t="shared" si="0"/>
        <v>1218</v>
      </c>
      <c r="E14" s="94">
        <f t="shared" si="1"/>
        <v>870</v>
      </c>
      <c r="F14" s="94">
        <f t="shared" si="2"/>
        <v>7018</v>
      </c>
      <c r="G14" s="95">
        <f t="shared" si="3"/>
        <v>6670</v>
      </c>
    </row>
    <row r="15" spans="3:10" x14ac:dyDescent="0.3">
      <c r="C15" s="93">
        <v>6300</v>
      </c>
      <c r="D15" s="94">
        <f t="shared" si="0"/>
        <v>1323</v>
      </c>
      <c r="E15" s="94">
        <f t="shared" si="1"/>
        <v>945</v>
      </c>
      <c r="F15" s="94">
        <f t="shared" si="2"/>
        <v>7623</v>
      </c>
      <c r="G15" s="95">
        <f t="shared" si="3"/>
        <v>7245</v>
      </c>
    </row>
    <row r="16" spans="3:10" x14ac:dyDescent="0.3">
      <c r="C16" s="93">
        <v>6800</v>
      </c>
      <c r="D16" s="94">
        <f t="shared" si="0"/>
        <v>1428</v>
      </c>
      <c r="E16" s="94">
        <f t="shared" si="1"/>
        <v>1020</v>
      </c>
      <c r="F16" s="94">
        <f t="shared" si="2"/>
        <v>8228</v>
      </c>
      <c r="G16" s="95">
        <f t="shared" si="3"/>
        <v>7820</v>
      </c>
    </row>
    <row r="17" spans="3:7" x14ac:dyDescent="0.3">
      <c r="C17" s="93">
        <v>7300</v>
      </c>
      <c r="D17" s="94">
        <f t="shared" si="0"/>
        <v>1533</v>
      </c>
      <c r="E17" s="94">
        <f t="shared" si="1"/>
        <v>1095</v>
      </c>
      <c r="F17" s="94">
        <f t="shared" si="2"/>
        <v>8833</v>
      </c>
      <c r="G17" s="95">
        <f t="shared" si="3"/>
        <v>8395</v>
      </c>
    </row>
    <row r="18" spans="3:7" x14ac:dyDescent="0.3">
      <c r="C18" s="93">
        <v>7800</v>
      </c>
      <c r="D18" s="94">
        <f t="shared" si="0"/>
        <v>1638</v>
      </c>
      <c r="E18" s="94">
        <f t="shared" si="1"/>
        <v>1170</v>
      </c>
      <c r="F18" s="94">
        <f t="shared" si="2"/>
        <v>9438</v>
      </c>
      <c r="G18" s="95">
        <f t="shared" si="3"/>
        <v>8970</v>
      </c>
    </row>
    <row r="19" spans="3:7" x14ac:dyDescent="0.3">
      <c r="C19" s="93">
        <v>8300</v>
      </c>
      <c r="D19" s="94">
        <f t="shared" si="0"/>
        <v>1743</v>
      </c>
      <c r="E19" s="94">
        <f t="shared" si="1"/>
        <v>1245</v>
      </c>
      <c r="F19" s="94">
        <f t="shared" si="2"/>
        <v>10043</v>
      </c>
      <c r="G19" s="95">
        <f t="shared" si="3"/>
        <v>9545</v>
      </c>
    </row>
    <row r="20" spans="3:7" x14ac:dyDescent="0.3">
      <c r="C20" s="96">
        <v>8800</v>
      </c>
      <c r="D20" s="97">
        <f t="shared" si="0"/>
        <v>1848</v>
      </c>
      <c r="E20" s="97">
        <f t="shared" si="1"/>
        <v>1320</v>
      </c>
      <c r="F20" s="97">
        <f t="shared" si="2"/>
        <v>10648</v>
      </c>
      <c r="G20" s="98">
        <f t="shared" si="3"/>
        <v>10120</v>
      </c>
    </row>
  </sheetData>
  <hyperlinks>
    <hyperlink ref="J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FF00"/>
  </sheetPr>
  <dimension ref="A1:L20"/>
  <sheetViews>
    <sheetView zoomScale="96" zoomScaleNormal="96" workbookViewId="0"/>
  </sheetViews>
  <sheetFormatPr defaultRowHeight="14.4" x14ac:dyDescent="0.3"/>
  <cols>
    <col min="10" max="10" width="15.6640625" customWidth="1"/>
  </cols>
  <sheetData>
    <row r="1" spans="1:12" x14ac:dyDescent="0.3">
      <c r="A1" s="182" t="s">
        <v>1148</v>
      </c>
      <c r="D1" s="178" t="s">
        <v>770</v>
      </c>
      <c r="I1" s="178" t="s">
        <v>1017</v>
      </c>
    </row>
    <row r="2" spans="1:12" x14ac:dyDescent="0.3">
      <c r="D2" t="s">
        <v>772</v>
      </c>
      <c r="I2" s="109">
        <v>20</v>
      </c>
    </row>
    <row r="3" spans="1:12" x14ac:dyDescent="0.3">
      <c r="C3" s="56">
        <v>1</v>
      </c>
      <c r="D3">
        <v>1</v>
      </c>
      <c r="F3">
        <v>1</v>
      </c>
      <c r="H3">
        <v>1</v>
      </c>
      <c r="L3" t="s">
        <v>1018</v>
      </c>
    </row>
    <row r="4" spans="1:12" x14ac:dyDescent="0.3">
      <c r="C4" s="56">
        <f>C3*1.1</f>
        <v>1.1000000000000001</v>
      </c>
      <c r="D4">
        <v>1.1000000000000001</v>
      </c>
      <c r="F4">
        <v>1.1000000000000001</v>
      </c>
      <c r="H4">
        <v>2</v>
      </c>
      <c r="L4" t="s">
        <v>1019</v>
      </c>
    </row>
    <row r="5" spans="1:12" x14ac:dyDescent="0.3">
      <c r="C5" s="56">
        <f t="shared" ref="C5:C19" si="0">C4*1.1</f>
        <v>1.2100000000000002</v>
      </c>
      <c r="D5">
        <v>1.2100000000000002</v>
      </c>
      <c r="F5">
        <v>1.2100000000000002</v>
      </c>
      <c r="H5">
        <v>4</v>
      </c>
      <c r="L5" t="s">
        <v>1020</v>
      </c>
    </row>
    <row r="6" spans="1:12" x14ac:dyDescent="0.3">
      <c r="C6" s="56">
        <f t="shared" si="0"/>
        <v>1.3310000000000004</v>
      </c>
      <c r="D6">
        <v>1.3310000000000004</v>
      </c>
      <c r="F6">
        <v>1.3310000000000004</v>
      </c>
      <c r="H6">
        <v>8</v>
      </c>
      <c r="I6">
        <v>1</v>
      </c>
      <c r="J6">
        <f>I6*$I$2</f>
        <v>20</v>
      </c>
      <c r="L6" t="s">
        <v>1021</v>
      </c>
    </row>
    <row r="7" spans="1:12" x14ac:dyDescent="0.3">
      <c r="C7" s="56">
        <f t="shared" si="0"/>
        <v>1.4641000000000006</v>
      </c>
      <c r="D7">
        <v>1.4641000000000006</v>
      </c>
      <c r="F7">
        <v>1.4641000000000004</v>
      </c>
      <c r="H7">
        <v>16</v>
      </c>
      <c r="I7">
        <v>2</v>
      </c>
      <c r="J7">
        <f t="shared" ref="J7:J15" si="1">I7*$I$2</f>
        <v>40</v>
      </c>
    </row>
    <row r="8" spans="1:12" x14ac:dyDescent="0.3">
      <c r="C8" s="56">
        <f t="shared" si="0"/>
        <v>1.6105100000000008</v>
      </c>
      <c r="D8">
        <v>1.6105100000000008</v>
      </c>
      <c r="F8">
        <v>1.6105100000000006</v>
      </c>
      <c r="H8">
        <v>32</v>
      </c>
      <c r="I8">
        <v>3</v>
      </c>
      <c r="J8">
        <f t="shared" si="1"/>
        <v>60</v>
      </c>
    </row>
    <row r="9" spans="1:12" x14ac:dyDescent="0.3">
      <c r="C9" s="56">
        <f t="shared" si="0"/>
        <v>1.7715610000000011</v>
      </c>
      <c r="D9">
        <v>1.7715610000000011</v>
      </c>
      <c r="F9">
        <v>1.7715610000000008</v>
      </c>
      <c r="H9">
        <v>64</v>
      </c>
      <c r="I9">
        <v>4</v>
      </c>
      <c r="J9">
        <f t="shared" si="1"/>
        <v>80</v>
      </c>
    </row>
    <row r="10" spans="1:12" x14ac:dyDescent="0.3">
      <c r="C10" s="56">
        <f t="shared" si="0"/>
        <v>1.9487171000000014</v>
      </c>
      <c r="D10">
        <v>1.9487171000000014</v>
      </c>
      <c r="F10">
        <v>1.9487171000000012</v>
      </c>
      <c r="H10">
        <v>128</v>
      </c>
      <c r="I10">
        <v>5</v>
      </c>
      <c r="J10">
        <f t="shared" si="1"/>
        <v>100</v>
      </c>
    </row>
    <row r="11" spans="1:12" x14ac:dyDescent="0.3">
      <c r="C11" s="56">
        <f t="shared" si="0"/>
        <v>2.1435888100000016</v>
      </c>
      <c r="D11">
        <v>2.1435888100000016</v>
      </c>
      <c r="F11">
        <v>2.1435888100000011</v>
      </c>
      <c r="H11">
        <v>256</v>
      </c>
      <c r="I11">
        <v>6</v>
      </c>
      <c r="J11">
        <f t="shared" si="1"/>
        <v>120</v>
      </c>
    </row>
    <row r="12" spans="1:12" x14ac:dyDescent="0.3">
      <c r="C12" s="56">
        <f t="shared" si="0"/>
        <v>2.3579476910000019</v>
      </c>
      <c r="D12">
        <v>2.3579476910000019</v>
      </c>
      <c r="F12">
        <v>2.3579476910000015</v>
      </c>
      <c r="H12">
        <v>512</v>
      </c>
      <c r="I12">
        <v>7</v>
      </c>
      <c r="J12">
        <f t="shared" si="1"/>
        <v>140</v>
      </c>
    </row>
    <row r="13" spans="1:12" x14ac:dyDescent="0.3">
      <c r="C13" s="56">
        <f t="shared" si="0"/>
        <v>2.5937424601000023</v>
      </c>
      <c r="D13">
        <v>2.5937424601000023</v>
      </c>
      <c r="F13">
        <v>2.5937424601000019</v>
      </c>
      <c r="H13">
        <v>1024</v>
      </c>
      <c r="I13">
        <v>8</v>
      </c>
      <c r="J13">
        <f t="shared" si="1"/>
        <v>160</v>
      </c>
    </row>
    <row r="14" spans="1:12" x14ac:dyDescent="0.3">
      <c r="C14" s="56">
        <f t="shared" si="0"/>
        <v>2.8531167061100029</v>
      </c>
      <c r="D14">
        <v>2.8531167061100029</v>
      </c>
      <c r="F14">
        <v>2.8531167061100025</v>
      </c>
      <c r="H14">
        <v>2048</v>
      </c>
      <c r="I14">
        <v>9</v>
      </c>
      <c r="J14">
        <f t="shared" si="1"/>
        <v>180</v>
      </c>
    </row>
    <row r="15" spans="1:12" x14ac:dyDescent="0.3">
      <c r="C15" s="56">
        <f t="shared" si="0"/>
        <v>3.1384283767210035</v>
      </c>
      <c r="D15">
        <v>3.1384283767210035</v>
      </c>
      <c r="F15">
        <v>3.1384283767210026</v>
      </c>
      <c r="H15">
        <v>4096</v>
      </c>
      <c r="I15">
        <v>10</v>
      </c>
      <c r="J15">
        <f t="shared" si="1"/>
        <v>200</v>
      </c>
    </row>
    <row r="16" spans="1:12" x14ac:dyDescent="0.3">
      <c r="C16" s="56">
        <f t="shared" si="0"/>
        <v>3.4522712143931042</v>
      </c>
      <c r="D16">
        <v>3.4522712143931042</v>
      </c>
      <c r="F16">
        <v>3.4522712143931029</v>
      </c>
      <c r="H16">
        <v>8192</v>
      </c>
    </row>
    <row r="17" spans="3:11" x14ac:dyDescent="0.3">
      <c r="C17" s="56">
        <f t="shared" si="0"/>
        <v>3.7974983358324148</v>
      </c>
      <c r="D17">
        <v>3.7974983358324148</v>
      </c>
      <c r="F17">
        <v>3.7974983358324139</v>
      </c>
      <c r="H17">
        <v>16384</v>
      </c>
    </row>
    <row r="18" spans="3:11" x14ac:dyDescent="0.3">
      <c r="C18" s="56">
        <f t="shared" si="0"/>
        <v>4.1772481694156562</v>
      </c>
      <c r="D18">
        <v>4.1772481694156562</v>
      </c>
      <c r="F18">
        <v>4.1772481694156554</v>
      </c>
      <c r="H18">
        <v>32768</v>
      </c>
      <c r="K18">
        <f>SUM(J6:J15)</f>
        <v>1100</v>
      </c>
    </row>
    <row r="19" spans="3:11" x14ac:dyDescent="0.3">
      <c r="C19" s="56">
        <f t="shared" si="0"/>
        <v>4.594972986357222</v>
      </c>
      <c r="D19">
        <v>4.594972986357222</v>
      </c>
      <c r="F19">
        <v>4.5949729863572211</v>
      </c>
      <c r="H19">
        <v>65536</v>
      </c>
      <c r="K19">
        <f>SUM(J:J)</f>
        <v>1100</v>
      </c>
    </row>
    <row r="20" spans="3:11" x14ac:dyDescent="0.3">
      <c r="K20">
        <f>SUM(platy)</f>
        <v>1100</v>
      </c>
    </row>
  </sheetData>
  <hyperlinks>
    <hyperlink ref="A1" location="Obsah!A1" display="Obsah"/>
  </hyperlinks>
  <pageMargins left="0.7" right="0.7" top="0.78740157499999996" bottom="0.78740157499999996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rgb="FFFFFF00"/>
  </sheetPr>
  <dimension ref="C1:P21"/>
  <sheetViews>
    <sheetView topLeftCell="C1" workbookViewId="0">
      <selection activeCell="P1" sqref="P1"/>
    </sheetView>
  </sheetViews>
  <sheetFormatPr defaultRowHeight="14.4" x14ac:dyDescent="0.3"/>
  <cols>
    <col min="1" max="2" width="0" hidden="1" customWidth="1"/>
    <col min="3" max="3" width="15.109375" customWidth="1"/>
    <col min="4" max="5" width="11.109375" customWidth="1"/>
  </cols>
  <sheetData>
    <row r="1" spans="3:16" ht="15.75" customHeight="1" x14ac:dyDescent="0.3">
      <c r="C1" s="294" t="s">
        <v>588</v>
      </c>
      <c r="D1" s="295"/>
      <c r="E1" s="296"/>
      <c r="P1" s="182" t="s">
        <v>1148</v>
      </c>
    </row>
    <row r="2" spans="3:16" ht="34.5" customHeight="1" x14ac:dyDescent="0.3">
      <c r="C2" s="99" t="s">
        <v>585</v>
      </c>
      <c r="D2" s="101" t="s">
        <v>586</v>
      </c>
      <c r="E2" s="100" t="s">
        <v>587</v>
      </c>
    </row>
    <row r="3" spans="3:16" x14ac:dyDescent="0.3">
      <c r="C3" s="93">
        <f>SUM(leden:březen!C2)</f>
        <v>5800</v>
      </c>
      <c r="D3" s="94">
        <f>SUM(leden:březen!F2)</f>
        <v>7018</v>
      </c>
      <c r="E3" s="95"/>
    </row>
    <row r="4" spans="3:16" x14ac:dyDescent="0.3">
      <c r="C4" s="93">
        <f>SUM(leden:březen!C3)</f>
        <v>5030</v>
      </c>
      <c r="D4" s="94">
        <f>SUM(leden:březen!F3)</f>
        <v>6086.3</v>
      </c>
      <c r="E4" s="95">
        <f>SUM(leden:březen!G3)</f>
        <v>5784.5</v>
      </c>
    </row>
    <row r="5" spans="3:16" x14ac:dyDescent="0.3">
      <c r="C5" s="93">
        <f>SUM(leden:březen!C4)</f>
        <v>5900</v>
      </c>
      <c r="D5" s="94">
        <f>SUM(leden:březen!F4)</f>
        <v>7139</v>
      </c>
      <c r="E5" s="95">
        <f>SUM(leden:březen!G4)</f>
        <v>6785</v>
      </c>
    </row>
    <row r="6" spans="3:16" ht="15" thickBot="1" x14ac:dyDescent="0.35">
      <c r="C6" s="93">
        <f>SUM(leden:březen!C5)</f>
        <v>6900</v>
      </c>
      <c r="D6" s="94">
        <f>SUM(leden:březen!F5)</f>
        <v>8349</v>
      </c>
      <c r="E6" s="95">
        <f>SUM(leden:březen!G5)</f>
        <v>7935</v>
      </c>
    </row>
    <row r="7" spans="3:16" ht="15" thickBot="1" x14ac:dyDescent="0.35">
      <c r="C7" s="93">
        <f>SUM(leden:březen!C6)</f>
        <v>7900</v>
      </c>
      <c r="D7" s="94">
        <f>SUM(leden:březen!F6)</f>
        <v>9559</v>
      </c>
      <c r="E7" s="95">
        <f>SUM(leden:březen!G6)</f>
        <v>9085</v>
      </c>
      <c r="G7" t="s">
        <v>589</v>
      </c>
      <c r="I7" s="63">
        <f>SUM(leden:březen!G2)</f>
        <v>6670</v>
      </c>
    </row>
    <row r="8" spans="3:16" x14ac:dyDescent="0.3">
      <c r="C8" s="93">
        <f>SUM(leden:březen!C7)</f>
        <v>8900</v>
      </c>
      <c r="D8" s="94">
        <f>SUM(leden:březen!F7)</f>
        <v>10769</v>
      </c>
      <c r="E8" s="95">
        <f>SUM(leden:březen!G7)</f>
        <v>10235</v>
      </c>
      <c r="G8" t="s">
        <v>590</v>
      </c>
    </row>
    <row r="9" spans="3:16" x14ac:dyDescent="0.3">
      <c r="C9" s="93">
        <f>SUM(leden:březen!C8)</f>
        <v>9900</v>
      </c>
      <c r="D9" s="94">
        <f>SUM(leden:březen!F8)</f>
        <v>11979</v>
      </c>
      <c r="E9" s="95">
        <f>SUM(leden:březen!G8)</f>
        <v>11385</v>
      </c>
    </row>
    <row r="10" spans="3:16" x14ac:dyDescent="0.3">
      <c r="C10" s="93">
        <f>SUM(leden:březen!C9)</f>
        <v>10900</v>
      </c>
      <c r="D10" s="94">
        <f>SUM(leden:březen!F9)</f>
        <v>13189</v>
      </c>
      <c r="E10" s="95">
        <f>SUM(leden:březen!G9)</f>
        <v>12535</v>
      </c>
    </row>
    <row r="11" spans="3:16" x14ac:dyDescent="0.3">
      <c r="C11" s="93">
        <f>SUM(leden:březen!C10)</f>
        <v>11900</v>
      </c>
      <c r="D11" s="94">
        <f>SUM(leden:březen!F10)</f>
        <v>14399</v>
      </c>
      <c r="E11" s="95">
        <f>SUM(leden:březen!G10)</f>
        <v>13685</v>
      </c>
    </row>
    <row r="12" spans="3:16" x14ac:dyDescent="0.3">
      <c r="C12" s="93">
        <f>SUM(leden:březen!C11)</f>
        <v>12900</v>
      </c>
      <c r="D12" s="94">
        <f>SUM(leden:březen!F11)</f>
        <v>15609</v>
      </c>
      <c r="E12" s="95">
        <f>SUM(leden:březen!G11)</f>
        <v>14835</v>
      </c>
    </row>
    <row r="13" spans="3:16" x14ac:dyDescent="0.3">
      <c r="C13" s="93">
        <f>SUM(leden:březen!C12)</f>
        <v>13900</v>
      </c>
      <c r="D13" s="94">
        <f>SUM(leden:březen!F12)</f>
        <v>16819</v>
      </c>
      <c r="E13" s="95">
        <f>SUM(leden:březen!G12)</f>
        <v>15985</v>
      </c>
    </row>
    <row r="14" spans="3:16" x14ac:dyDescent="0.3">
      <c r="C14" s="93">
        <f>SUM(leden:březen!C13)</f>
        <v>14900</v>
      </c>
      <c r="D14" s="94">
        <f>SUM(leden:březen!F13)</f>
        <v>18029</v>
      </c>
      <c r="E14" s="95">
        <f>SUM(leden:březen!G13)</f>
        <v>17135</v>
      </c>
    </row>
    <row r="15" spans="3:16" x14ac:dyDescent="0.3">
      <c r="C15" s="93">
        <f>SUM(leden:březen!C14)</f>
        <v>15900</v>
      </c>
      <c r="D15" s="94">
        <f>SUM(leden:březen!F14)</f>
        <v>19239</v>
      </c>
      <c r="E15" s="95">
        <f>SUM(leden:březen!G14)</f>
        <v>18285</v>
      </c>
    </row>
    <row r="16" spans="3:16" x14ac:dyDescent="0.3">
      <c r="C16" s="93">
        <f>SUM(leden:březen!C15)</f>
        <v>16900</v>
      </c>
      <c r="D16" s="94">
        <f>SUM(leden:březen!F15)</f>
        <v>20449</v>
      </c>
      <c r="E16" s="95">
        <f>SUM(leden:březen!G15)</f>
        <v>19435</v>
      </c>
    </row>
    <row r="17" spans="3:5" x14ac:dyDescent="0.3">
      <c r="C17" s="93">
        <f>SUM(leden:březen!C16)</f>
        <v>17900</v>
      </c>
      <c r="D17" s="94">
        <f>SUM(leden:březen!F16)</f>
        <v>21659</v>
      </c>
      <c r="E17" s="95">
        <f>SUM(leden:březen!G16)</f>
        <v>20585</v>
      </c>
    </row>
    <row r="18" spans="3:5" x14ac:dyDescent="0.3">
      <c r="C18" s="93">
        <f>SUM(leden:březen!C17)</f>
        <v>18900</v>
      </c>
      <c r="D18" s="94">
        <f>SUM(leden:březen!F17)</f>
        <v>22869</v>
      </c>
      <c r="E18" s="95">
        <f>SUM(leden:březen!G17)</f>
        <v>21735</v>
      </c>
    </row>
    <row r="19" spans="3:5" x14ac:dyDescent="0.3">
      <c r="C19" s="93">
        <f>SUM(leden:březen!C18)</f>
        <v>19900</v>
      </c>
      <c r="D19" s="94">
        <f>SUM(leden:březen!F18)</f>
        <v>24079</v>
      </c>
      <c r="E19" s="95">
        <f>SUM(leden:březen!G18)</f>
        <v>22885</v>
      </c>
    </row>
    <row r="20" spans="3:5" x14ac:dyDescent="0.3">
      <c r="C20" s="93">
        <f>SUM(leden:březen!C19)</f>
        <v>21030</v>
      </c>
      <c r="D20" s="94">
        <f>SUM(leden:březen!F19)</f>
        <v>25446.3</v>
      </c>
      <c r="E20" s="95">
        <f>SUM(leden:březen!G19)</f>
        <v>24184.5</v>
      </c>
    </row>
    <row r="21" spans="3:5" x14ac:dyDescent="0.3">
      <c r="C21" s="96">
        <f>SUM(leden:březen!C20)</f>
        <v>22200</v>
      </c>
      <c r="D21" s="97">
        <f>SUM(leden:březen!F20)</f>
        <v>26862</v>
      </c>
      <c r="E21" s="98">
        <f>SUM(leden:březen!G20)</f>
        <v>25530</v>
      </c>
    </row>
  </sheetData>
  <mergeCells count="1">
    <mergeCell ref="C1:E1"/>
  </mergeCells>
  <hyperlinks>
    <hyperlink ref="P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rgb="FFFFFF00"/>
  </sheetPr>
  <dimension ref="A1:I57"/>
  <sheetViews>
    <sheetView workbookViewId="0"/>
  </sheetViews>
  <sheetFormatPr defaultRowHeight="14.4" x14ac:dyDescent="0.3"/>
  <cols>
    <col min="1" max="1" width="14.6640625" customWidth="1"/>
    <col min="2" max="2" width="15.5546875" customWidth="1"/>
    <col min="3" max="3" width="13.44140625" customWidth="1"/>
    <col min="4" max="4" width="19.33203125" customWidth="1"/>
    <col min="5" max="5" width="14.6640625" customWidth="1"/>
    <col min="6" max="6" width="16" customWidth="1"/>
    <col min="7" max="7" width="17.88671875" customWidth="1"/>
    <col min="8" max="9" width="36.88671875" customWidth="1"/>
  </cols>
  <sheetData>
    <row r="1" spans="1:7" x14ac:dyDescent="0.3">
      <c r="A1" s="182" t="s">
        <v>1148</v>
      </c>
    </row>
    <row r="4" spans="1:7" x14ac:dyDescent="0.3">
      <c r="B4" t="s">
        <v>591</v>
      </c>
      <c r="C4" t="s">
        <v>128</v>
      </c>
      <c r="D4" t="s">
        <v>129</v>
      </c>
      <c r="E4" t="s">
        <v>130</v>
      </c>
      <c r="F4" t="s">
        <v>131</v>
      </c>
      <c r="G4" t="s">
        <v>132</v>
      </c>
    </row>
    <row r="5" spans="1:7" x14ac:dyDescent="0.3">
      <c r="B5" s="28">
        <v>43044</v>
      </c>
      <c r="C5">
        <v>5</v>
      </c>
      <c r="D5">
        <v>11</v>
      </c>
      <c r="E5">
        <v>2017</v>
      </c>
      <c r="F5" s="28">
        <v>43044</v>
      </c>
      <c r="G5" s="29">
        <v>43044.72152777778</v>
      </c>
    </row>
    <row r="6" spans="1:7" x14ac:dyDescent="0.3">
      <c r="B6" s="28">
        <v>43044</v>
      </c>
      <c r="C6">
        <f>DAY(B5)</f>
        <v>5</v>
      </c>
      <c r="D6">
        <f>MONTH(B5)</f>
        <v>11</v>
      </c>
      <c r="E6">
        <f>YEAR(B5)</f>
        <v>2017</v>
      </c>
      <c r="F6" s="28"/>
      <c r="G6" s="29"/>
    </row>
    <row r="7" spans="1:7" x14ac:dyDescent="0.3">
      <c r="A7" t="s">
        <v>592</v>
      </c>
      <c r="B7" s="166" t="s">
        <v>692</v>
      </c>
      <c r="C7" s="111" t="s">
        <v>689</v>
      </c>
      <c r="D7" s="111" t="s">
        <v>690</v>
      </c>
      <c r="E7" s="111" t="s">
        <v>691</v>
      </c>
      <c r="F7" s="166" t="s">
        <v>692</v>
      </c>
      <c r="G7" s="167" t="s">
        <v>693</v>
      </c>
    </row>
    <row r="8" spans="1:7" x14ac:dyDescent="0.3">
      <c r="B8" s="28" t="s">
        <v>694</v>
      </c>
      <c r="C8" s="111" t="s">
        <v>695</v>
      </c>
      <c r="D8" s="111" t="s">
        <v>695</v>
      </c>
      <c r="E8" s="111" t="s">
        <v>695</v>
      </c>
      <c r="F8" s="28" t="s">
        <v>694</v>
      </c>
      <c r="G8" s="167" t="s">
        <v>696</v>
      </c>
    </row>
    <row r="9" spans="1:7" x14ac:dyDescent="0.3">
      <c r="B9" s="28">
        <v>43173</v>
      </c>
      <c r="C9" s="111">
        <f>DAY(B9)</f>
        <v>14</v>
      </c>
      <c r="D9" s="111">
        <f>MONTH(B9)</f>
        <v>3</v>
      </c>
      <c r="E9" s="111">
        <f>YEAR(B9)</f>
        <v>2018</v>
      </c>
      <c r="F9" s="166">
        <f ca="1">TODAY()</f>
        <v>44965</v>
      </c>
      <c r="G9" s="167">
        <f ca="1">NOW()</f>
        <v>44965.041107060184</v>
      </c>
    </row>
    <row r="10" spans="1:7" x14ac:dyDescent="0.3">
      <c r="A10" t="s">
        <v>593</v>
      </c>
      <c r="G10" s="29"/>
    </row>
    <row r="11" spans="1:7" x14ac:dyDescent="0.3">
      <c r="B11" s="30">
        <v>23347</v>
      </c>
      <c r="C11" s="30">
        <v>43173</v>
      </c>
      <c r="D11" s="111" t="s">
        <v>744</v>
      </c>
      <c r="E11" s="30">
        <f>C11-B11</f>
        <v>19826</v>
      </c>
      <c r="G11" s="163"/>
    </row>
    <row r="12" spans="1:7" x14ac:dyDescent="0.3">
      <c r="B12" t="s">
        <v>697</v>
      </c>
      <c r="C12" t="s">
        <v>697</v>
      </c>
      <c r="E12" t="s">
        <v>697</v>
      </c>
      <c r="G12" s="163"/>
    </row>
    <row r="13" spans="1:7" x14ac:dyDescent="0.3">
      <c r="B13" s="31">
        <f>B11</f>
        <v>23347</v>
      </c>
      <c r="C13" s="28">
        <f>C11</f>
        <v>43173</v>
      </c>
      <c r="D13" s="163">
        <f>C13-B13</f>
        <v>19826</v>
      </c>
    </row>
    <row r="14" spans="1:7" x14ac:dyDescent="0.3">
      <c r="B14" s="28">
        <v>43173</v>
      </c>
      <c r="C14" s="28">
        <v>43174</v>
      </c>
      <c r="D14" s="163">
        <f>C14-B14</f>
        <v>1</v>
      </c>
      <c r="F14" t="s">
        <v>698</v>
      </c>
    </row>
    <row r="15" spans="1:7" x14ac:dyDescent="0.3">
      <c r="D15" s="111" t="s">
        <v>699</v>
      </c>
      <c r="E15" s="111"/>
      <c r="F15" s="111">
        <f>WEEKDAY(B14,2)</f>
        <v>3</v>
      </c>
      <c r="G15" t="s">
        <v>707</v>
      </c>
    </row>
    <row r="16" spans="1:7" x14ac:dyDescent="0.3">
      <c r="B16" s="32">
        <v>0.51487268518518514</v>
      </c>
      <c r="D16" s="111" t="s">
        <v>700</v>
      </c>
      <c r="F16" s="111">
        <f>HOUR(B16)</f>
        <v>12</v>
      </c>
    </row>
    <row r="17" spans="2:8" x14ac:dyDescent="0.3">
      <c r="D17" s="111" t="s">
        <v>701</v>
      </c>
      <c r="F17" s="111">
        <f>MINUTE(B16)</f>
        <v>21</v>
      </c>
    </row>
    <row r="18" spans="2:8" x14ac:dyDescent="0.3">
      <c r="D18" s="111" t="s">
        <v>702</v>
      </c>
      <c r="F18" s="111">
        <f>SECOND(B16)</f>
        <v>25</v>
      </c>
      <c r="H18" s="168"/>
    </row>
    <row r="19" spans="2:8" x14ac:dyDescent="0.3">
      <c r="D19" s="111" t="s">
        <v>703</v>
      </c>
      <c r="F19" s="111">
        <f>MONTH(B13)</f>
        <v>12</v>
      </c>
    </row>
    <row r="20" spans="2:8" x14ac:dyDescent="0.3">
      <c r="D20" s="111" t="s">
        <v>704</v>
      </c>
      <c r="F20" s="111">
        <f>NETWORKDAYS(B13,C14)</f>
        <v>14164</v>
      </c>
    </row>
    <row r="21" spans="2:8" x14ac:dyDescent="0.3">
      <c r="D21" s="111" t="s">
        <v>705</v>
      </c>
      <c r="F21" s="111">
        <f>NETWORKDAYS.INTL(B14,C14,1,1)</f>
        <v>2</v>
      </c>
    </row>
    <row r="22" spans="2:8" x14ac:dyDescent="0.3">
      <c r="D22" s="111" t="s">
        <v>706</v>
      </c>
      <c r="F22" s="111">
        <f>YEARFRAC(C22,B22)</f>
        <v>0</v>
      </c>
    </row>
    <row r="27" spans="2:8" x14ac:dyDescent="0.3">
      <c r="B27" s="174" t="s">
        <v>727</v>
      </c>
      <c r="C27" s="174"/>
      <c r="D27" s="174"/>
    </row>
    <row r="28" spans="2:8" x14ac:dyDescent="0.3">
      <c r="B28" s="109"/>
      <c r="C28" s="109"/>
      <c r="D28" s="172">
        <v>43109</v>
      </c>
    </row>
    <row r="29" spans="2:8" x14ac:dyDescent="0.3">
      <c r="B29" s="109"/>
      <c r="C29" s="109"/>
      <c r="D29" s="172">
        <v>43111</v>
      </c>
    </row>
    <row r="30" spans="2:8" x14ac:dyDescent="0.3">
      <c r="B30" s="109"/>
      <c r="C30" s="109"/>
      <c r="D30" s="172">
        <v>43112</v>
      </c>
    </row>
    <row r="31" spans="2:8" x14ac:dyDescent="0.3">
      <c r="B31" s="172">
        <v>43101</v>
      </c>
      <c r="C31" s="172">
        <v>43159</v>
      </c>
      <c r="D31" s="173">
        <f>NETWORKDAYS.INTL(B31,C31,"0000011",D28:D30)</f>
        <v>40</v>
      </c>
      <c r="G31" s="182" t="s">
        <v>1148</v>
      </c>
    </row>
    <row r="40" spans="2:9" ht="16.5" customHeight="1" x14ac:dyDescent="0.3">
      <c r="H40" s="170" t="s">
        <v>708</v>
      </c>
      <c r="I40" s="170" t="s">
        <v>709</v>
      </c>
    </row>
    <row r="41" spans="2:9" ht="16.5" customHeight="1" x14ac:dyDescent="0.3">
      <c r="H41" s="169" t="s">
        <v>710</v>
      </c>
      <c r="I41" s="169" t="s">
        <v>711</v>
      </c>
    </row>
    <row r="42" spans="2:9" ht="16.5" customHeight="1" x14ac:dyDescent="0.3">
      <c r="H42" s="171">
        <v>2</v>
      </c>
      <c r="I42" s="169" t="s">
        <v>712</v>
      </c>
    </row>
    <row r="43" spans="2:9" ht="16.5" customHeight="1" x14ac:dyDescent="0.3">
      <c r="H43" s="171">
        <v>3</v>
      </c>
      <c r="I43" s="169" t="s">
        <v>713</v>
      </c>
    </row>
    <row r="44" spans="2:9" ht="16.5" customHeight="1" x14ac:dyDescent="0.3">
      <c r="H44" s="171">
        <v>4</v>
      </c>
      <c r="I44" s="169" t="s">
        <v>714</v>
      </c>
    </row>
    <row r="45" spans="2:9" ht="16.5" customHeight="1" x14ac:dyDescent="0.3">
      <c r="H45" s="171">
        <v>5</v>
      </c>
      <c r="I45" s="169" t="s">
        <v>715</v>
      </c>
    </row>
    <row r="46" spans="2:9" ht="16.5" customHeight="1" x14ac:dyDescent="0.3">
      <c r="H46" s="171">
        <v>6</v>
      </c>
      <c r="I46" s="169" t="s">
        <v>716</v>
      </c>
    </row>
    <row r="47" spans="2:9" ht="16.5" customHeight="1" x14ac:dyDescent="0.3">
      <c r="B47" s="28">
        <v>23347</v>
      </c>
      <c r="C47" s="28">
        <v>43173</v>
      </c>
      <c r="D47" s="111">
        <f>YEARFRAC(B47,C47,1)</f>
        <v>54.280629705681044</v>
      </c>
      <c r="H47" s="171">
        <v>7</v>
      </c>
      <c r="I47" s="169" t="s">
        <v>717</v>
      </c>
    </row>
    <row r="48" spans="2:9" ht="16.5" customHeight="1" x14ac:dyDescent="0.3">
      <c r="D48">
        <f>D47-INT(D47)</f>
        <v>0.28062970568104362</v>
      </c>
      <c r="H48" s="171">
        <v>11</v>
      </c>
      <c r="I48" s="169" t="s">
        <v>718</v>
      </c>
    </row>
    <row r="49" spans="2:9" ht="16.5" customHeight="1" x14ac:dyDescent="0.3">
      <c r="D49">
        <f>D48*365</f>
        <v>102.42984257358091</v>
      </c>
      <c r="H49" s="171">
        <v>12</v>
      </c>
      <c r="I49" s="169" t="s">
        <v>719</v>
      </c>
    </row>
    <row r="50" spans="2:9" ht="16.5" customHeight="1" x14ac:dyDescent="0.3">
      <c r="B50" s="28">
        <v>43071</v>
      </c>
      <c r="C50" s="28">
        <v>43173</v>
      </c>
      <c r="D50" s="111">
        <f>_xlfn.DAYS(C50,B50)</f>
        <v>102</v>
      </c>
      <c r="H50" s="171">
        <v>13</v>
      </c>
      <c r="I50" s="169" t="s">
        <v>720</v>
      </c>
    </row>
    <row r="51" spans="2:9" ht="16.5" customHeight="1" x14ac:dyDescent="0.3">
      <c r="D51">
        <f>102/30</f>
        <v>3.4</v>
      </c>
      <c r="H51" s="171">
        <v>14</v>
      </c>
      <c r="I51" s="169" t="s">
        <v>721</v>
      </c>
    </row>
    <row r="52" spans="2:9" ht="16.5" customHeight="1" x14ac:dyDescent="0.3">
      <c r="D52" s="174" t="s">
        <v>728</v>
      </c>
      <c r="H52" s="171">
        <v>15</v>
      </c>
      <c r="I52" s="169" t="s">
        <v>722</v>
      </c>
    </row>
    <row r="53" spans="2:9" ht="16.5" customHeight="1" x14ac:dyDescent="0.3">
      <c r="H53" s="171">
        <v>16</v>
      </c>
      <c r="I53" s="169" t="s">
        <v>723</v>
      </c>
    </row>
    <row r="54" spans="2:9" ht="16.5" customHeight="1" x14ac:dyDescent="0.3">
      <c r="H54" s="171">
        <v>17</v>
      </c>
      <c r="I54" s="169" t="s">
        <v>724</v>
      </c>
    </row>
    <row r="55" spans="2:9" ht="63.75" customHeight="1" x14ac:dyDescent="0.3">
      <c r="H55" s="297" t="s">
        <v>725</v>
      </c>
      <c r="I55" s="297"/>
    </row>
    <row r="56" spans="2:9" ht="16.5" customHeight="1" x14ac:dyDescent="0.3"/>
    <row r="57" spans="2:9" x14ac:dyDescent="0.3">
      <c r="H57" t="s">
        <v>726</v>
      </c>
    </row>
  </sheetData>
  <mergeCells count="1">
    <mergeCell ref="H55:I55"/>
  </mergeCells>
  <hyperlinks>
    <hyperlink ref="G31" location="Obsah!A1" display="Obsah"/>
    <hyperlink ref="A1" location="Obsah!A1" display="Obsah"/>
  </hyperlink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1">
    <tabColor rgb="FF92D050"/>
  </sheetPr>
  <dimension ref="B3:G25"/>
  <sheetViews>
    <sheetView topLeftCell="A16" workbookViewId="0">
      <selection activeCell="F24" sqref="F24"/>
    </sheetView>
  </sheetViews>
  <sheetFormatPr defaultRowHeight="14.4" x14ac:dyDescent="0.3"/>
  <cols>
    <col min="1" max="1" width="1.109375" customWidth="1"/>
    <col min="2" max="2" width="14.5546875" customWidth="1"/>
    <col min="3" max="3" width="16.44140625" customWidth="1"/>
    <col min="5" max="5" width="11.109375" customWidth="1"/>
    <col min="6" max="6" width="15.33203125" bestFit="1" customWidth="1"/>
    <col min="7" max="7" width="34.33203125" customWidth="1"/>
  </cols>
  <sheetData>
    <row r="3" spans="2:7" x14ac:dyDescent="0.3">
      <c r="B3" s="109" t="s">
        <v>591</v>
      </c>
      <c r="C3" s="172">
        <v>43044</v>
      </c>
      <c r="E3" s="111" t="s">
        <v>745</v>
      </c>
      <c r="F3">
        <f>DAY(C3)</f>
        <v>5</v>
      </c>
    </row>
    <row r="4" spans="2:7" x14ac:dyDescent="0.3">
      <c r="E4" s="111" t="s">
        <v>746</v>
      </c>
      <c r="F4" s="111">
        <f>MONTH(C3)</f>
        <v>11</v>
      </c>
    </row>
    <row r="5" spans="2:7" x14ac:dyDescent="0.3">
      <c r="E5" s="111" t="s">
        <v>747</v>
      </c>
      <c r="F5" s="111">
        <f>YEAR(C3)</f>
        <v>2017</v>
      </c>
    </row>
    <row r="6" spans="2:7" x14ac:dyDescent="0.3">
      <c r="E6" s="111" t="s">
        <v>748</v>
      </c>
      <c r="F6" s="166">
        <f ca="1">TODAY()</f>
        <v>44965</v>
      </c>
    </row>
    <row r="7" spans="2:7" x14ac:dyDescent="0.3">
      <c r="E7" s="111" t="s">
        <v>749</v>
      </c>
      <c r="F7" s="167">
        <f ca="1">NOW()</f>
        <v>44965.041107060184</v>
      </c>
    </row>
    <row r="9" spans="2:7" x14ac:dyDescent="0.3">
      <c r="B9" t="s">
        <v>750</v>
      </c>
    </row>
    <row r="10" spans="2:7" x14ac:dyDescent="0.3">
      <c r="C10" s="28">
        <v>23347</v>
      </c>
      <c r="D10" t="s">
        <v>751</v>
      </c>
      <c r="E10" s="30">
        <v>23347</v>
      </c>
    </row>
    <row r="11" spans="2:7" x14ac:dyDescent="0.3">
      <c r="D11" t="s">
        <v>752</v>
      </c>
      <c r="E11" s="175">
        <v>23347</v>
      </c>
    </row>
    <row r="13" spans="2:7" x14ac:dyDescent="0.3">
      <c r="B13" t="s">
        <v>753</v>
      </c>
    </row>
    <row r="14" spans="2:7" x14ac:dyDescent="0.3">
      <c r="C14" s="28">
        <v>23347</v>
      </c>
      <c r="E14" s="111" t="s">
        <v>754</v>
      </c>
      <c r="F14" s="30">
        <f>C15-C14</f>
        <v>20171</v>
      </c>
      <c r="G14" t="s">
        <v>755</v>
      </c>
    </row>
    <row r="15" spans="2:7" x14ac:dyDescent="0.3">
      <c r="C15" s="28">
        <v>43518</v>
      </c>
    </row>
    <row r="18" spans="2:6" x14ac:dyDescent="0.3">
      <c r="B18" s="28">
        <v>23347</v>
      </c>
      <c r="C18" s="111" t="s">
        <v>756</v>
      </c>
      <c r="F18" s="111">
        <f>WEEKDAY(B18,2)</f>
        <v>1</v>
      </c>
    </row>
    <row r="19" spans="2:6" x14ac:dyDescent="0.3">
      <c r="B19" s="32">
        <v>0.50847222222222221</v>
      </c>
      <c r="C19" s="111" t="s">
        <v>758</v>
      </c>
      <c r="F19" s="111">
        <f>HOUR(B19)</f>
        <v>12</v>
      </c>
    </row>
    <row r="20" spans="2:6" x14ac:dyDescent="0.3">
      <c r="C20" s="111" t="s">
        <v>759</v>
      </c>
      <c r="F20" s="111">
        <f>MINUTE(B19)</f>
        <v>12</v>
      </c>
    </row>
    <row r="21" spans="2:6" x14ac:dyDescent="0.3">
      <c r="C21" s="111" t="s">
        <v>760</v>
      </c>
      <c r="F21" s="111">
        <f>SECOND(B19)</f>
        <v>12</v>
      </c>
    </row>
    <row r="22" spans="2:6" x14ac:dyDescent="0.3">
      <c r="C22" s="111" t="s">
        <v>757</v>
      </c>
      <c r="F22" s="111">
        <f>MONTH(B18)</f>
        <v>12</v>
      </c>
    </row>
    <row r="23" spans="2:6" x14ac:dyDescent="0.3">
      <c r="C23" s="111" t="s">
        <v>761</v>
      </c>
      <c r="F23" s="111">
        <f ca="1">NETWORKDAYS(B18,TODAY())</f>
        <v>15443</v>
      </c>
    </row>
    <row r="24" spans="2:6" x14ac:dyDescent="0.3">
      <c r="C24" s="111" t="s">
        <v>705</v>
      </c>
      <c r="F24" s="111">
        <f>NETWORKDAYS.INTL(B14,C14,1,1)</f>
        <v>16676</v>
      </c>
    </row>
    <row r="25" spans="2:6" x14ac:dyDescent="0.3">
      <c r="C25" s="111" t="s">
        <v>706</v>
      </c>
      <c r="F25" s="111" t="e">
        <f>YEARFRAC(C22,B22)</f>
        <v>#VALUE!</v>
      </c>
    </row>
  </sheetData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rgb="FFFFFF00"/>
  </sheetPr>
  <dimension ref="B1:I20"/>
  <sheetViews>
    <sheetView workbookViewId="0">
      <selection activeCell="I1" sqref="I1"/>
    </sheetView>
  </sheetViews>
  <sheetFormatPr defaultRowHeight="14.4" x14ac:dyDescent="0.3"/>
  <cols>
    <col min="2" max="2" width="28.109375" customWidth="1"/>
    <col min="4" max="4" width="15.6640625" customWidth="1"/>
  </cols>
  <sheetData>
    <row r="1" spans="2:9" x14ac:dyDescent="0.3">
      <c r="I1" s="182" t="s">
        <v>1148</v>
      </c>
    </row>
    <row r="4" spans="2:9" x14ac:dyDescent="0.3">
      <c r="B4" s="109" t="s">
        <v>594</v>
      </c>
      <c r="C4" s="109"/>
      <c r="D4" s="109"/>
    </row>
    <row r="6" spans="2:9" x14ac:dyDescent="0.3">
      <c r="B6" s="111" t="str">
        <f>TRIM(B4)</f>
        <v>Kardašova Řečice</v>
      </c>
      <c r="C6" s="111" t="s">
        <v>729</v>
      </c>
    </row>
    <row r="7" spans="2:9" x14ac:dyDescent="0.3">
      <c r="B7" s="111" t="str">
        <f>LEFT(B6,2)</f>
        <v>Ka</v>
      </c>
      <c r="C7" s="111" t="s">
        <v>730</v>
      </c>
    </row>
    <row r="8" spans="2:9" x14ac:dyDescent="0.3">
      <c r="B8" s="111" t="str">
        <f>RIGHT(B6,3)</f>
        <v>ice</v>
      </c>
      <c r="C8" s="111" t="s">
        <v>731</v>
      </c>
    </row>
    <row r="9" spans="2:9" x14ac:dyDescent="0.3">
      <c r="B9" s="111" t="str">
        <f>MID(B6,6,4)</f>
        <v>šova</v>
      </c>
      <c r="C9" s="111" t="s">
        <v>732</v>
      </c>
    </row>
    <row r="10" spans="2:9" x14ac:dyDescent="0.3">
      <c r="B10" s="111" t="str">
        <f>CONCATENATE(B7,"--",B8,"-",B9)</f>
        <v>Ka--ice-šova</v>
      </c>
      <c r="C10" s="111" t="s">
        <v>733</v>
      </c>
    </row>
    <row r="11" spans="2:9" x14ac:dyDescent="0.3">
      <c r="B11" s="111" t="str">
        <f>B7&amp;"--"&amp;B8&amp;"-"&amp;B9</f>
        <v>Ka--ice-šova</v>
      </c>
      <c r="C11" s="111" t="s">
        <v>734</v>
      </c>
    </row>
    <row r="12" spans="2:9" x14ac:dyDescent="0.3">
      <c r="B12">
        <f>LEN(B4)</f>
        <v>25</v>
      </c>
      <c r="C12" s="111" t="s">
        <v>735</v>
      </c>
    </row>
    <row r="13" spans="2:9" x14ac:dyDescent="0.3">
      <c r="B13">
        <f>LEN(C6)</f>
        <v>14</v>
      </c>
      <c r="C13" s="111" t="s">
        <v>736</v>
      </c>
    </row>
    <row r="14" spans="2:9" x14ac:dyDescent="0.3">
      <c r="B14" s="111" t="str">
        <f>SUBSTITUTE(B6,"Ře","Vl")</f>
        <v>Kardašova Vlčice</v>
      </c>
      <c r="C14" s="111" t="s">
        <v>737</v>
      </c>
    </row>
    <row r="15" spans="2:9" x14ac:dyDescent="0.3">
      <c r="B15">
        <f>SEARCH("da",B6)</f>
        <v>4</v>
      </c>
      <c r="C15" s="111" t="s">
        <v>738</v>
      </c>
      <c r="I15" t="s">
        <v>739</v>
      </c>
    </row>
    <row r="16" spans="2:9" x14ac:dyDescent="0.3">
      <c r="B16" t="s">
        <v>740</v>
      </c>
      <c r="C16">
        <f>VALUE(B16)</f>
        <v>65</v>
      </c>
      <c r="D16" s="111" t="s">
        <v>741</v>
      </c>
      <c r="I16" t="str">
        <f>MID(I15,2,2)</f>
        <v>65</v>
      </c>
    </row>
    <row r="17" spans="2:4" x14ac:dyDescent="0.3">
      <c r="B17">
        <v>65</v>
      </c>
      <c r="C17" t="str">
        <f>TEXT(B17,"0#,00")</f>
        <v>65,00</v>
      </c>
      <c r="D17" s="111" t="s">
        <v>742</v>
      </c>
    </row>
    <row r="18" spans="2:4" x14ac:dyDescent="0.3">
      <c r="B18">
        <v>58</v>
      </c>
      <c r="C18" t="str">
        <f>DOLLAR(B18,2)</f>
        <v>58,00 Kč</v>
      </c>
      <c r="D18" s="111" t="s">
        <v>743</v>
      </c>
    </row>
    <row r="19" spans="2:4" x14ac:dyDescent="0.3">
      <c r="D19" t="str">
        <f>LOWER(B4)</f>
        <v>kardašova          řečice</v>
      </c>
    </row>
    <row r="20" spans="2:4" x14ac:dyDescent="0.3">
      <c r="D20" t="str">
        <f>REPLACE(B4,20,2,"Vl")</f>
        <v>Kardašova          Vlčice</v>
      </c>
    </row>
  </sheetData>
  <hyperlinks>
    <hyperlink ref="I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F53"/>
  <sheetViews>
    <sheetView zoomScale="130" zoomScaleNormal="130" workbookViewId="0">
      <selection activeCell="F1" sqref="F1"/>
    </sheetView>
  </sheetViews>
  <sheetFormatPr defaultRowHeight="14.4" x14ac:dyDescent="0.3"/>
  <cols>
    <col min="4" max="4" width="20.109375" customWidth="1"/>
    <col min="5" max="5" width="42.5546875" customWidth="1"/>
    <col min="6" max="6" width="58.33203125" customWidth="1"/>
  </cols>
  <sheetData>
    <row r="1" spans="1:6" ht="25.8" x14ac:dyDescent="0.5">
      <c r="A1" s="193" t="s">
        <v>899</v>
      </c>
      <c r="F1" s="182" t="s">
        <v>1148</v>
      </c>
    </row>
    <row r="2" spans="1:6" ht="18.75" customHeight="1" x14ac:dyDescent="0.5">
      <c r="A2" s="193"/>
      <c r="B2" s="298" t="s">
        <v>1039</v>
      </c>
      <c r="C2" s="298"/>
      <c r="D2" s="298"/>
      <c r="E2" s="186" t="s">
        <v>1040</v>
      </c>
    </row>
    <row r="3" spans="1:6" ht="18.75" customHeight="1" x14ac:dyDescent="0.5">
      <c r="A3" s="193"/>
      <c r="B3" s="298" t="s">
        <v>1041</v>
      </c>
      <c r="C3" s="298"/>
      <c r="D3" s="298"/>
      <c r="E3" s="186" t="s">
        <v>1042</v>
      </c>
    </row>
    <row r="4" spans="1:6" ht="18.75" customHeight="1" x14ac:dyDescent="0.5">
      <c r="A4" s="193"/>
      <c r="B4" s="298" t="s">
        <v>1043</v>
      </c>
      <c r="C4" s="298"/>
      <c r="D4" s="298"/>
      <c r="E4" s="186" t="s">
        <v>1044</v>
      </c>
    </row>
    <row r="5" spans="1:6" ht="18.75" customHeight="1" x14ac:dyDescent="0.5">
      <c r="A5" s="193"/>
      <c r="B5" s="298" t="s">
        <v>1045</v>
      </c>
      <c r="C5" s="298"/>
      <c r="D5" s="298"/>
      <c r="E5" s="186" t="s">
        <v>1046</v>
      </c>
    </row>
    <row r="6" spans="1:6" ht="18.75" customHeight="1" x14ac:dyDescent="0.5">
      <c r="A6" s="193"/>
      <c r="B6" s="186" t="s">
        <v>1047</v>
      </c>
      <c r="C6" s="207"/>
      <c r="D6" s="207"/>
      <c r="E6" s="186" t="s">
        <v>1048</v>
      </c>
    </row>
    <row r="7" spans="1:6" ht="18.75" customHeight="1" x14ac:dyDescent="0.5">
      <c r="A7" s="193"/>
      <c r="B7" s="207"/>
      <c r="C7" s="207"/>
      <c r="D7" s="207"/>
      <c r="E7" s="186"/>
    </row>
    <row r="8" spans="1:6" ht="25.8" x14ac:dyDescent="0.5">
      <c r="A8" s="193"/>
    </row>
    <row r="9" spans="1:6" x14ac:dyDescent="0.3">
      <c r="D9" s="109" t="s">
        <v>1049</v>
      </c>
      <c r="E9" s="109" t="s">
        <v>1050</v>
      </c>
    </row>
    <row r="10" spans="1:6" x14ac:dyDescent="0.3">
      <c r="B10" t="s">
        <v>900</v>
      </c>
      <c r="C10" t="s">
        <v>901</v>
      </c>
      <c r="D10" s="111" t="str">
        <f>B10&amp;C10</f>
        <v>automobil</v>
      </c>
      <c r="E10" s="111" t="s">
        <v>902</v>
      </c>
      <c r="F10" t="s">
        <v>903</v>
      </c>
    </row>
    <row r="11" spans="1:6" x14ac:dyDescent="0.3">
      <c r="B11" t="s">
        <v>900</v>
      </c>
      <c r="C11" t="s">
        <v>901</v>
      </c>
      <c r="D11" s="111" t="str">
        <f>CONCATENATE(B11,C11)</f>
        <v>automobil</v>
      </c>
      <c r="E11" s="111" t="s">
        <v>904</v>
      </c>
      <c r="F11" t="s">
        <v>903</v>
      </c>
    </row>
    <row r="12" spans="1:6" x14ac:dyDescent="0.3">
      <c r="B12" t="s">
        <v>195</v>
      </c>
      <c r="C12" t="s">
        <v>252</v>
      </c>
      <c r="D12" t="str">
        <f>B12&amp;" "&amp;C12</f>
        <v>Jan Novák</v>
      </c>
      <c r="E12" s="111" t="s">
        <v>1051</v>
      </c>
      <c r="F12" t="s">
        <v>905</v>
      </c>
    </row>
    <row r="13" spans="1:6" x14ac:dyDescent="0.3">
      <c r="D13" s="111" t="str">
        <f>C12&amp;" "&amp;B12</f>
        <v>Novák Jan</v>
      </c>
      <c r="E13" s="111" t="s">
        <v>906</v>
      </c>
      <c r="F13" t="s">
        <v>905</v>
      </c>
    </row>
    <row r="14" spans="1:6" x14ac:dyDescent="0.3">
      <c r="D14" s="111" t="str">
        <f>CONCATENATE(C12," ",B12)</f>
        <v>Novák Jan</v>
      </c>
      <c r="E14" s="111" t="s">
        <v>907</v>
      </c>
      <c r="F14" t="s">
        <v>905</v>
      </c>
    </row>
    <row r="16" spans="1:6" x14ac:dyDescent="0.3">
      <c r="B16" t="s">
        <v>908</v>
      </c>
      <c r="D16" s="111" t="str">
        <f>RIGHT(B16,4)</f>
        <v>ipán</v>
      </c>
      <c r="E16" s="111" t="s">
        <v>1052</v>
      </c>
      <c r="F16" t="s">
        <v>910</v>
      </c>
    </row>
    <row r="17" spans="1:6" x14ac:dyDescent="0.3">
      <c r="D17" s="111" t="str">
        <f>LEFT(B16,3)</f>
        <v>Mar</v>
      </c>
      <c r="E17" s="111" t="s">
        <v>909</v>
      </c>
    </row>
    <row r="18" spans="1:6" x14ac:dyDescent="0.3">
      <c r="B18">
        <v>582536</v>
      </c>
      <c r="D18" s="111" t="str">
        <f>MID(B18,3,2)</f>
        <v>25</v>
      </c>
      <c r="E18" s="111" t="s">
        <v>911</v>
      </c>
      <c r="F18" t="s">
        <v>912</v>
      </c>
    </row>
    <row r="19" spans="1:6" x14ac:dyDescent="0.3">
      <c r="B19" t="s">
        <v>913</v>
      </c>
      <c r="D19" s="111" t="str">
        <f>CONCATENATE(MID(B19,3,3),MID(B19,8,3))</f>
        <v>rtisek</v>
      </c>
      <c r="E19" s="111" t="s">
        <v>914</v>
      </c>
    </row>
    <row r="20" spans="1:6" x14ac:dyDescent="0.3">
      <c r="D20" s="111">
        <f>LEN(B19)</f>
        <v>10</v>
      </c>
      <c r="E20" s="111" t="s">
        <v>915</v>
      </c>
      <c r="F20" t="s">
        <v>916</v>
      </c>
    </row>
    <row r="21" spans="1:6" x14ac:dyDescent="0.3">
      <c r="E21" t="str">
        <f>SUBSTITUTE(B16,"Mar","Kac",1)</f>
        <v>Kactinásek Marko Marek Marcipán</v>
      </c>
      <c r="F21" t="s">
        <v>917</v>
      </c>
    </row>
    <row r="22" spans="1:6" x14ac:dyDescent="0.3">
      <c r="A22" t="s">
        <v>252</v>
      </c>
      <c r="B22" t="s">
        <v>195</v>
      </c>
      <c r="C22" t="str">
        <f>CONCATENATE(A22, " ",B22)</f>
        <v>Novák Jan</v>
      </c>
      <c r="D22" t="s">
        <v>918</v>
      </c>
    </row>
    <row r="29" spans="1:6" ht="23.4" x14ac:dyDescent="0.3">
      <c r="F29" s="194" t="s">
        <v>919</v>
      </c>
    </row>
    <row r="30" spans="1:6" x14ac:dyDescent="0.3">
      <c r="B30" t="s">
        <v>920</v>
      </c>
      <c r="D30" s="111">
        <f>SEARCH("ret",B30,1)</f>
        <v>4</v>
      </c>
      <c r="E30" s="111" t="s">
        <v>921</v>
      </c>
      <c r="F30" t="s">
        <v>922</v>
      </c>
    </row>
    <row r="31" spans="1:6" x14ac:dyDescent="0.3">
      <c r="F31" t="s">
        <v>923</v>
      </c>
    </row>
    <row r="32" spans="1:6" ht="19.5" customHeight="1" x14ac:dyDescent="0.3">
      <c r="F32" t="s">
        <v>924</v>
      </c>
    </row>
    <row r="33" spans="2:6" ht="86.4" x14ac:dyDescent="0.3">
      <c r="F33" s="202" t="s">
        <v>925</v>
      </c>
    </row>
    <row r="34" spans="2:6" x14ac:dyDescent="0.3">
      <c r="F34" t="s">
        <v>926</v>
      </c>
    </row>
    <row r="35" spans="2:6" x14ac:dyDescent="0.3">
      <c r="F35" s="195" t="s">
        <v>927</v>
      </c>
    </row>
    <row r="36" spans="2:6" x14ac:dyDescent="0.3">
      <c r="F36" s="195" t="s">
        <v>928</v>
      </c>
    </row>
    <row r="37" spans="2:6" x14ac:dyDescent="0.3">
      <c r="F37" s="195" t="s">
        <v>929</v>
      </c>
    </row>
    <row r="39" spans="2:6" x14ac:dyDescent="0.3">
      <c r="B39" t="s">
        <v>930</v>
      </c>
      <c r="D39" s="111">
        <f>FIND("Ret",B39,1)</f>
        <v>4</v>
      </c>
      <c r="E39" s="111" t="s">
        <v>931</v>
      </c>
      <c r="F39" s="196" t="s">
        <v>932</v>
      </c>
    </row>
    <row r="41" spans="2:6" x14ac:dyDescent="0.3">
      <c r="B41" t="s">
        <v>1053</v>
      </c>
    </row>
    <row r="42" spans="2:6" x14ac:dyDescent="0.3">
      <c r="B42" t="s">
        <v>1054</v>
      </c>
    </row>
    <row r="51" spans="2:3" x14ac:dyDescent="0.3">
      <c r="B51" t="s">
        <v>1055</v>
      </c>
    </row>
    <row r="52" spans="2:3" x14ac:dyDescent="0.3">
      <c r="B52" t="s">
        <v>1056</v>
      </c>
      <c r="C52" t="str">
        <f>PROPER(B52)</f>
        <v>Nováková</v>
      </c>
    </row>
    <row r="53" spans="2:3" x14ac:dyDescent="0.3">
      <c r="B53" t="s">
        <v>1056</v>
      </c>
      <c r="C53" t="str">
        <f>UPPER(B53)</f>
        <v>NOVÁKOVÁ</v>
      </c>
    </row>
  </sheetData>
  <mergeCells count="4">
    <mergeCell ref="B2:D2"/>
    <mergeCell ref="B3:D3"/>
    <mergeCell ref="B4:D4"/>
    <mergeCell ref="B5:D5"/>
  </mergeCells>
  <hyperlinks>
    <hyperlink ref="F1" location="Obsah!A1" display="Obsah"/>
  </hyperlinks>
  <pageMargins left="0.7" right="0.7" top="0.78740157499999996" bottom="0.78740157499999996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rgb="FFFFFF00"/>
  </sheetPr>
  <dimension ref="B1:I8"/>
  <sheetViews>
    <sheetView workbookViewId="0">
      <selection activeCell="I1" sqref="I1"/>
    </sheetView>
  </sheetViews>
  <sheetFormatPr defaultRowHeight="14.4" x14ac:dyDescent="0.3"/>
  <cols>
    <col min="5" max="6" width="15.44140625" customWidth="1"/>
    <col min="7" max="7" width="15.33203125" customWidth="1"/>
  </cols>
  <sheetData>
    <row r="1" spans="2:9" x14ac:dyDescent="0.3">
      <c r="I1" s="182" t="s">
        <v>1148</v>
      </c>
    </row>
    <row r="2" spans="2:9" x14ac:dyDescent="0.3">
      <c r="B2" t="s">
        <v>137</v>
      </c>
      <c r="C2">
        <v>10000</v>
      </c>
      <c r="F2" t="s">
        <v>136</v>
      </c>
      <c r="G2">
        <v>18000</v>
      </c>
    </row>
    <row r="5" spans="2:9" x14ac:dyDescent="0.3">
      <c r="B5" s="34" t="s">
        <v>596</v>
      </c>
      <c r="E5" s="34" t="s">
        <v>597</v>
      </c>
      <c r="G5" s="102">
        <v>18000</v>
      </c>
    </row>
    <row r="6" spans="2:9" ht="15" thickBot="1" x14ac:dyDescent="0.35"/>
    <row r="7" spans="2:9" x14ac:dyDescent="0.3">
      <c r="B7" s="103" t="s">
        <v>113</v>
      </c>
      <c r="C7" s="104" t="s">
        <v>114</v>
      </c>
      <c r="D7" s="104" t="s">
        <v>133</v>
      </c>
      <c r="E7" s="104" t="s">
        <v>134</v>
      </c>
      <c r="F7" s="104" t="s">
        <v>595</v>
      </c>
      <c r="G7" s="105" t="s">
        <v>135</v>
      </c>
    </row>
    <row r="8" spans="2:9" ht="15" thickBot="1" x14ac:dyDescent="0.35">
      <c r="B8" s="106">
        <v>10400</v>
      </c>
      <c r="C8" s="107">
        <v>9300</v>
      </c>
      <c r="D8" s="107">
        <f>SUM(B8:C8)</f>
        <v>19700</v>
      </c>
      <c r="E8" s="107"/>
      <c r="F8" s="107"/>
      <c r="G8" s="108"/>
    </row>
  </sheetData>
  <hyperlinks>
    <hyperlink ref="I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rgb="FF92D050"/>
  </sheetPr>
  <dimension ref="B2:G8"/>
  <sheetViews>
    <sheetView workbookViewId="0">
      <selection activeCell="G9" sqref="G9"/>
    </sheetView>
  </sheetViews>
  <sheetFormatPr defaultRowHeight="14.4" x14ac:dyDescent="0.3"/>
  <cols>
    <col min="5" max="6" width="15.44140625" customWidth="1"/>
    <col min="7" max="7" width="15.33203125" customWidth="1"/>
  </cols>
  <sheetData>
    <row r="2" spans="2:7" x14ac:dyDescent="0.3">
      <c r="B2" t="s">
        <v>137</v>
      </c>
      <c r="C2">
        <v>10000</v>
      </c>
      <c r="F2" t="s">
        <v>136</v>
      </c>
      <c r="G2">
        <v>18000</v>
      </c>
    </row>
    <row r="5" spans="2:7" x14ac:dyDescent="0.3">
      <c r="B5" s="34" t="s">
        <v>596</v>
      </c>
      <c r="E5" s="34" t="s">
        <v>597</v>
      </c>
      <c r="G5" s="102">
        <v>18000</v>
      </c>
    </row>
    <row r="6" spans="2:7" ht="15" thickBot="1" x14ac:dyDescent="0.35"/>
    <row r="7" spans="2:7" x14ac:dyDescent="0.3">
      <c r="B7" s="103" t="s">
        <v>113</v>
      </c>
      <c r="C7" s="104" t="s">
        <v>114</v>
      </c>
      <c r="D7" s="104" t="s">
        <v>133</v>
      </c>
      <c r="E7" s="104" t="s">
        <v>134</v>
      </c>
      <c r="F7" s="104" t="s">
        <v>595</v>
      </c>
      <c r="G7" s="105" t="s">
        <v>135</v>
      </c>
    </row>
    <row r="8" spans="2:7" ht="15" thickBot="1" x14ac:dyDescent="0.35">
      <c r="B8" s="106">
        <v>10400</v>
      </c>
      <c r="C8" s="107">
        <v>9300</v>
      </c>
      <c r="D8" s="107">
        <f>SUM(B8:C8)</f>
        <v>19700</v>
      </c>
      <c r="E8" s="107" t="b">
        <f>AND(B8&gt;'Logické-fce (2)'!Hranice,C8&gt;'Logické-fce (2)'!Hranice)</f>
        <v>0</v>
      </c>
      <c r="F8" s="107" t="b">
        <f>OR(B8&gt;'Logické-fce (2)'!Hranice,C8&gt;'Logické-fce (2)'!Hranice)</f>
        <v>1</v>
      </c>
      <c r="G8" s="108" t="str">
        <f>IF(D8&gt;=Plán,"Plán splněn","Plán nesplněn")</f>
        <v>Plán splněn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rgb="FFFFFF00"/>
  </sheetPr>
  <dimension ref="A1:J12"/>
  <sheetViews>
    <sheetView workbookViewId="0">
      <selection activeCell="J1" sqref="J1"/>
    </sheetView>
  </sheetViews>
  <sheetFormatPr defaultRowHeight="14.4" x14ac:dyDescent="0.3"/>
  <cols>
    <col min="2" max="2" width="12.44140625" customWidth="1"/>
    <col min="3" max="3" width="13.109375" customWidth="1"/>
    <col min="5" max="5" width="17.33203125" customWidth="1"/>
    <col min="7" max="7" width="31.33203125" customWidth="1"/>
    <col min="8" max="8" width="9" customWidth="1"/>
    <col min="9" max="9" width="2.33203125" customWidth="1"/>
  </cols>
  <sheetData>
    <row r="1" spans="1:10" x14ac:dyDescent="0.3">
      <c r="A1" s="34" t="s">
        <v>598</v>
      </c>
      <c r="J1" s="182" t="s">
        <v>1148</v>
      </c>
    </row>
    <row r="3" spans="1:10" x14ac:dyDescent="0.3">
      <c r="A3" s="37" t="s">
        <v>138</v>
      </c>
      <c r="B3" s="37" t="s">
        <v>143</v>
      </c>
      <c r="C3" s="37" t="s">
        <v>144</v>
      </c>
      <c r="D3" s="37" t="s">
        <v>145</v>
      </c>
      <c r="E3" s="37" t="s">
        <v>146</v>
      </c>
      <c r="G3" s="37" t="s">
        <v>147</v>
      </c>
      <c r="H3" s="21">
        <f>COUNTIF(D4:D12,"&gt;5")</f>
        <v>5</v>
      </c>
      <c r="J3" s="112" t="s">
        <v>599</v>
      </c>
    </row>
    <row r="4" spans="1:10" x14ac:dyDescent="0.3">
      <c r="A4" s="21" t="s">
        <v>139</v>
      </c>
      <c r="B4" s="110">
        <v>42064</v>
      </c>
      <c r="C4" s="110">
        <v>42068</v>
      </c>
      <c r="D4" s="21">
        <f>C4-B4+1</f>
        <v>5</v>
      </c>
      <c r="E4" s="110">
        <v>42070</v>
      </c>
    </row>
    <row r="5" spans="1:10" x14ac:dyDescent="0.3">
      <c r="A5" s="21" t="s">
        <v>140</v>
      </c>
      <c r="B5" s="110">
        <v>42069</v>
      </c>
      <c r="C5" s="110">
        <v>42071</v>
      </c>
      <c r="D5" s="21">
        <f t="shared" ref="D5:D12" si="0">C5-B5+1</f>
        <v>3</v>
      </c>
      <c r="E5" s="21"/>
      <c r="G5" s="37" t="s">
        <v>148</v>
      </c>
      <c r="H5" s="21">
        <f>SUMIF(A4:A12,G6,D4:D12)</f>
        <v>17</v>
      </c>
      <c r="J5" s="111" t="s">
        <v>600</v>
      </c>
    </row>
    <row r="6" spans="1:10" x14ac:dyDescent="0.3">
      <c r="A6" s="21" t="s">
        <v>141</v>
      </c>
      <c r="B6" s="110">
        <v>42112</v>
      </c>
      <c r="C6" s="110">
        <v>42119</v>
      </c>
      <c r="D6" s="21">
        <f t="shared" si="0"/>
        <v>8</v>
      </c>
      <c r="E6" s="110">
        <v>42121</v>
      </c>
      <c r="G6" t="s">
        <v>139</v>
      </c>
    </row>
    <row r="7" spans="1:10" x14ac:dyDescent="0.3">
      <c r="A7" s="21" t="s">
        <v>139</v>
      </c>
      <c r="B7" s="110">
        <v>42112</v>
      </c>
      <c r="C7" s="110">
        <v>42119</v>
      </c>
      <c r="D7" s="21">
        <f t="shared" si="0"/>
        <v>8</v>
      </c>
      <c r="E7" s="21"/>
    </row>
    <row r="8" spans="1:10" x14ac:dyDescent="0.3">
      <c r="A8" s="21" t="s">
        <v>141</v>
      </c>
      <c r="B8" s="110">
        <v>42113</v>
      </c>
      <c r="C8" s="110">
        <v>42116</v>
      </c>
      <c r="D8" s="21">
        <f t="shared" si="0"/>
        <v>4</v>
      </c>
      <c r="E8" s="110">
        <v>42137</v>
      </c>
      <c r="G8" s="37" t="s">
        <v>149</v>
      </c>
      <c r="H8" s="21">
        <f>COUNTBLANK(E4:E12)</f>
        <v>4</v>
      </c>
      <c r="J8" s="111" t="s">
        <v>601</v>
      </c>
    </row>
    <row r="9" spans="1:10" x14ac:dyDescent="0.3">
      <c r="A9" s="21" t="s">
        <v>141</v>
      </c>
      <c r="B9" s="110">
        <v>42129</v>
      </c>
      <c r="C9" s="110">
        <v>42135</v>
      </c>
      <c r="D9" s="21">
        <f t="shared" si="0"/>
        <v>7</v>
      </c>
      <c r="E9" s="110">
        <v>42146</v>
      </c>
    </row>
    <row r="10" spans="1:10" x14ac:dyDescent="0.3">
      <c r="A10" s="21" t="s">
        <v>139</v>
      </c>
      <c r="B10" s="110">
        <v>42139</v>
      </c>
      <c r="C10" s="110">
        <v>42142</v>
      </c>
      <c r="D10" s="21">
        <f t="shared" si="0"/>
        <v>4</v>
      </c>
      <c r="E10" s="21"/>
    </row>
    <row r="11" spans="1:10" x14ac:dyDescent="0.3">
      <c r="A11" s="21" t="s">
        <v>141</v>
      </c>
      <c r="B11" s="110">
        <v>42156</v>
      </c>
      <c r="C11" s="110">
        <v>42168</v>
      </c>
      <c r="D11" s="21">
        <f t="shared" si="0"/>
        <v>13</v>
      </c>
      <c r="E11" s="21"/>
    </row>
    <row r="12" spans="1:10" x14ac:dyDescent="0.3">
      <c r="A12" s="21" t="s">
        <v>142</v>
      </c>
      <c r="B12" s="110">
        <v>42166</v>
      </c>
      <c r="C12" s="110">
        <v>42171</v>
      </c>
      <c r="D12" s="21">
        <f t="shared" si="0"/>
        <v>6</v>
      </c>
      <c r="E12" s="110">
        <v>42172</v>
      </c>
    </row>
  </sheetData>
  <hyperlinks>
    <hyperlink ref="J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N15"/>
  <sheetViews>
    <sheetView workbookViewId="0">
      <selection activeCell="N1" sqref="N1"/>
    </sheetView>
  </sheetViews>
  <sheetFormatPr defaultRowHeight="14.4" x14ac:dyDescent="0.3"/>
  <sheetData>
    <row r="1" spans="1:14" x14ac:dyDescent="0.3">
      <c r="A1" s="201">
        <v>5</v>
      </c>
      <c r="B1" t="s">
        <v>1022</v>
      </c>
      <c r="N1" s="182" t="s">
        <v>1148</v>
      </c>
    </row>
    <row r="2" spans="1:14" x14ac:dyDescent="0.3">
      <c r="B2">
        <v>1</v>
      </c>
      <c r="C2">
        <v>2</v>
      </c>
      <c r="D2">
        <v>4</v>
      </c>
      <c r="E2">
        <v>3</v>
      </c>
      <c r="F2">
        <v>1</v>
      </c>
    </row>
    <row r="3" spans="1:14" x14ac:dyDescent="0.3">
      <c r="B3">
        <v>2</v>
      </c>
      <c r="C3">
        <v>2</v>
      </c>
      <c r="D3">
        <v>1</v>
      </c>
      <c r="E3">
        <v>2</v>
      </c>
      <c r="F3">
        <v>2</v>
      </c>
    </row>
    <row r="4" spans="1:14" x14ac:dyDescent="0.3">
      <c r="B4">
        <v>1</v>
      </c>
      <c r="C4">
        <v>1</v>
      </c>
      <c r="D4">
        <v>2</v>
      </c>
      <c r="E4">
        <v>3</v>
      </c>
      <c r="F4">
        <v>1</v>
      </c>
    </row>
    <row r="5" spans="1:14" x14ac:dyDescent="0.3">
      <c r="B5">
        <v>1</v>
      </c>
      <c r="C5">
        <v>3</v>
      </c>
      <c r="D5">
        <v>4</v>
      </c>
      <c r="E5">
        <v>1</v>
      </c>
      <c r="F5">
        <v>3</v>
      </c>
    </row>
    <row r="6" spans="1:14" x14ac:dyDescent="0.3">
      <c r="B6">
        <v>2</v>
      </c>
      <c r="C6">
        <v>4</v>
      </c>
      <c r="D6">
        <v>1</v>
      </c>
      <c r="E6">
        <v>2</v>
      </c>
      <c r="F6">
        <v>4</v>
      </c>
    </row>
    <row r="7" spans="1:14" x14ac:dyDescent="0.3">
      <c r="B7">
        <v>3</v>
      </c>
      <c r="C7">
        <v>2</v>
      </c>
      <c r="D7">
        <v>1</v>
      </c>
      <c r="E7">
        <v>1</v>
      </c>
      <c r="F7">
        <v>1</v>
      </c>
    </row>
    <row r="8" spans="1:14" x14ac:dyDescent="0.3">
      <c r="B8">
        <v>4</v>
      </c>
      <c r="C8">
        <v>1</v>
      </c>
      <c r="D8">
        <v>2</v>
      </c>
      <c r="E8">
        <v>5</v>
      </c>
      <c r="F8">
        <v>2</v>
      </c>
    </row>
    <row r="9" spans="1:14" x14ac:dyDescent="0.3">
      <c r="B9">
        <v>1</v>
      </c>
      <c r="C9">
        <v>2</v>
      </c>
      <c r="D9">
        <v>1</v>
      </c>
      <c r="E9">
        <v>3</v>
      </c>
      <c r="F9">
        <v>4</v>
      </c>
    </row>
    <row r="10" spans="1:14" x14ac:dyDescent="0.3">
      <c r="B10">
        <v>2</v>
      </c>
      <c r="C10">
        <v>1</v>
      </c>
      <c r="D10">
        <v>3</v>
      </c>
      <c r="E10">
        <v>1</v>
      </c>
      <c r="F10">
        <v>1</v>
      </c>
    </row>
    <row r="12" spans="1:14" x14ac:dyDescent="0.3">
      <c r="B12" t="s">
        <v>1023</v>
      </c>
      <c r="D12">
        <f>COUNTIF(B2:F10,1)</f>
        <v>18</v>
      </c>
      <c r="F12" t="str">
        <f>IF($A$1=1,"Počet jedniček:",IF($A$1=2,"Počet dvojek: ",IF($A$1=3,"Počet trojek: ",IF($A$1=4,"Počet čtyřek: ","Počet pětek: "))))</f>
        <v xml:space="preserve">Počet pětek: </v>
      </c>
      <c r="H12">
        <f>COUNTIF($B$2:$F$10,$A$1)</f>
        <v>1</v>
      </c>
    </row>
    <row r="13" spans="1:14" x14ac:dyDescent="0.3">
      <c r="B13" t="s">
        <v>1024</v>
      </c>
      <c r="D13">
        <f>COUNTIF(B2:F10,2)</f>
        <v>13</v>
      </c>
    </row>
    <row r="14" spans="1:14" x14ac:dyDescent="0.3">
      <c r="B14" t="s">
        <v>1025</v>
      </c>
      <c r="D14">
        <f>COUNTIF(B2:F10,3)</f>
        <v>7</v>
      </c>
    </row>
    <row r="15" spans="1:14" x14ac:dyDescent="0.3">
      <c r="B15" t="s">
        <v>1026</v>
      </c>
      <c r="D15">
        <f>COUNTIF(B2:F10,"")</f>
        <v>0</v>
      </c>
    </row>
  </sheetData>
  <hyperlinks>
    <hyperlink ref="N1" location="Obsah!A1" display="Obsah"/>
  </hyperlinks>
  <pageMargins left="0.7" right="0.7" top="0.78740157499999996" bottom="0.78740157499999996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rgb="FFFFFF00"/>
  </sheetPr>
  <dimension ref="A1:L17"/>
  <sheetViews>
    <sheetView zoomScale="98" zoomScaleNormal="98" workbookViewId="0">
      <selection activeCell="L1" sqref="L1"/>
    </sheetView>
  </sheetViews>
  <sheetFormatPr defaultRowHeight="14.4" x14ac:dyDescent="0.3"/>
  <cols>
    <col min="1" max="1" width="15.5546875" customWidth="1"/>
    <col min="2" max="3" width="14.88671875" customWidth="1"/>
    <col min="4" max="5" width="15.5546875" customWidth="1"/>
    <col min="6" max="6" width="17.109375" customWidth="1"/>
    <col min="7" max="7" width="12.6640625" customWidth="1"/>
    <col min="8" max="9" width="10.33203125" customWidth="1"/>
    <col min="11" max="11" width="11.88671875" bestFit="1" customWidth="1"/>
    <col min="14" max="14" width="11.88671875" bestFit="1" customWidth="1"/>
  </cols>
  <sheetData>
    <row r="1" spans="1:12" ht="43.2" x14ac:dyDescent="0.3">
      <c r="A1" s="34" t="s">
        <v>933</v>
      </c>
      <c r="B1" s="34" t="s">
        <v>244</v>
      </c>
      <c r="C1" s="34" t="s">
        <v>178</v>
      </c>
      <c r="D1" s="197" t="s">
        <v>934</v>
      </c>
      <c r="E1" s="197" t="s">
        <v>934</v>
      </c>
      <c r="F1" s="197" t="s">
        <v>935</v>
      </c>
      <c r="G1" s="34" t="s">
        <v>936</v>
      </c>
      <c r="H1" s="197" t="s">
        <v>937</v>
      </c>
      <c r="I1" s="197" t="s">
        <v>938</v>
      </c>
      <c r="J1" s="197" t="s">
        <v>363</v>
      </c>
      <c r="K1" s="197" t="s">
        <v>363</v>
      </c>
      <c r="L1" s="182" t="s">
        <v>1148</v>
      </c>
    </row>
    <row r="2" spans="1:12" x14ac:dyDescent="0.3">
      <c r="A2" t="s">
        <v>939</v>
      </c>
      <c r="B2" t="s">
        <v>195</v>
      </c>
      <c r="C2" t="s">
        <v>252</v>
      </c>
      <c r="D2" t="str">
        <f>C2&amp;" "&amp;B2</f>
        <v>Novák Jan</v>
      </c>
      <c r="E2" t="str">
        <f>CONCATENATE(C2," ",B2)</f>
        <v>Novák Jan</v>
      </c>
      <c r="F2" t="s">
        <v>918</v>
      </c>
      <c r="G2" t="s">
        <v>940</v>
      </c>
      <c r="H2" t="str">
        <f>MID(G2,3,2)</f>
        <v>11</v>
      </c>
      <c r="I2" s="163">
        <f>VALUE(H2)</f>
        <v>11</v>
      </c>
      <c r="J2" t="str">
        <f>IF(I2&gt;50,"žena","muž")</f>
        <v>muž</v>
      </c>
      <c r="K2" t="str">
        <f>IF(_xlfn.NUMBERVALUE(MID(G2,3,2))&gt;50,"žena","muž")</f>
        <v>muž</v>
      </c>
    </row>
    <row r="3" spans="1:12" x14ac:dyDescent="0.3">
      <c r="A3" t="s">
        <v>941</v>
      </c>
      <c r="B3" t="s">
        <v>416</v>
      </c>
      <c r="C3" t="s">
        <v>869</v>
      </c>
      <c r="D3" t="str">
        <f t="shared" ref="D3:D13" si="0">C3&amp;" "&amp;B3</f>
        <v>Stará Eva</v>
      </c>
      <c r="E3" t="str">
        <f>CONCATENATE(C3," ",B3)</f>
        <v>Stará Eva</v>
      </c>
      <c r="F3" t="s">
        <v>942</v>
      </c>
      <c r="G3" t="s">
        <v>943</v>
      </c>
      <c r="H3" t="str">
        <f t="shared" ref="H3:H13" si="1">MID(G3,3,2)</f>
        <v>58</v>
      </c>
      <c r="I3" s="163">
        <f t="shared" ref="I3:I13" si="2">VALUE(H3)</f>
        <v>58</v>
      </c>
      <c r="J3" t="str">
        <f t="shared" ref="J3:J13" si="3">IF(I3&gt;50,"žena","muž")</f>
        <v>žena</v>
      </c>
      <c r="K3" t="str">
        <f t="shared" ref="K3:K13" si="4">IF(_xlfn.NUMBERVALUE(MID(G3,3,2))&gt;50,"žena","muž")</f>
        <v>žena</v>
      </c>
    </row>
    <row r="4" spans="1:12" x14ac:dyDescent="0.3">
      <c r="A4" t="s">
        <v>944</v>
      </c>
      <c r="B4" t="s">
        <v>266</v>
      </c>
      <c r="C4" t="s">
        <v>866</v>
      </c>
      <c r="D4" t="str">
        <f t="shared" si="0"/>
        <v>Zlobivý Jiří</v>
      </c>
      <c r="E4" t="str">
        <f>CONCATENATE(C4," ",B4)</f>
        <v>Zlobivý Jiří</v>
      </c>
      <c r="F4" t="s">
        <v>945</v>
      </c>
      <c r="G4" t="s">
        <v>946</v>
      </c>
      <c r="H4" t="str">
        <f t="shared" si="1"/>
        <v>07</v>
      </c>
      <c r="I4" s="163">
        <f t="shared" si="2"/>
        <v>7</v>
      </c>
      <c r="J4" t="str">
        <f t="shared" si="3"/>
        <v>muž</v>
      </c>
      <c r="K4" t="str">
        <f t="shared" si="4"/>
        <v>muž</v>
      </c>
    </row>
    <row r="5" spans="1:12" x14ac:dyDescent="0.3">
      <c r="A5" t="s">
        <v>947</v>
      </c>
      <c r="B5" t="s">
        <v>265</v>
      </c>
      <c r="C5" t="s">
        <v>860</v>
      </c>
      <c r="D5" t="str">
        <f t="shared" si="0"/>
        <v>Hodná Anna</v>
      </c>
      <c r="E5" t="str">
        <f t="shared" ref="E5:E13" si="5">CONCATENATE(C5," ",B5)</f>
        <v>Hodná Anna</v>
      </c>
      <c r="F5" t="s">
        <v>948</v>
      </c>
      <c r="G5" t="s">
        <v>949</v>
      </c>
      <c r="H5" t="str">
        <f t="shared" si="1"/>
        <v>56</v>
      </c>
      <c r="I5" s="163">
        <f t="shared" si="2"/>
        <v>56</v>
      </c>
      <c r="J5" t="str">
        <f t="shared" si="3"/>
        <v>žena</v>
      </c>
      <c r="K5" t="str">
        <f t="shared" si="4"/>
        <v>žena</v>
      </c>
    </row>
    <row r="6" spans="1:12" x14ac:dyDescent="0.3">
      <c r="A6" t="s">
        <v>950</v>
      </c>
      <c r="B6" t="s">
        <v>268</v>
      </c>
      <c r="C6" t="s">
        <v>819</v>
      </c>
      <c r="D6" t="str">
        <f t="shared" si="0"/>
        <v>Dokonalá Marie</v>
      </c>
      <c r="E6" t="str">
        <f t="shared" si="5"/>
        <v>Dokonalá Marie</v>
      </c>
      <c r="F6" t="s">
        <v>951</v>
      </c>
      <c r="G6" t="s">
        <v>952</v>
      </c>
      <c r="H6" t="str">
        <f t="shared" si="1"/>
        <v>61</v>
      </c>
      <c r="I6" s="163">
        <f t="shared" si="2"/>
        <v>61</v>
      </c>
      <c r="J6" t="str">
        <f t="shared" si="3"/>
        <v>žena</v>
      </c>
      <c r="K6" t="str">
        <f t="shared" si="4"/>
        <v>žena</v>
      </c>
    </row>
    <row r="7" spans="1:12" x14ac:dyDescent="0.3">
      <c r="A7" t="s">
        <v>953</v>
      </c>
      <c r="B7" t="s">
        <v>271</v>
      </c>
      <c r="C7" t="s">
        <v>825</v>
      </c>
      <c r="D7" t="str">
        <f t="shared" si="0"/>
        <v>Pracovitá Jana</v>
      </c>
      <c r="E7" t="str">
        <f t="shared" si="5"/>
        <v>Pracovitá Jana</v>
      </c>
      <c r="F7" t="s">
        <v>954</v>
      </c>
      <c r="G7" t="s">
        <v>955</v>
      </c>
      <c r="H7" t="str">
        <f t="shared" si="1"/>
        <v>52</v>
      </c>
      <c r="I7" s="163">
        <f t="shared" si="2"/>
        <v>52</v>
      </c>
      <c r="J7" t="str">
        <f t="shared" si="3"/>
        <v>žena</v>
      </c>
      <c r="K7" t="str">
        <f t="shared" si="4"/>
        <v>žena</v>
      </c>
    </row>
    <row r="8" spans="1:12" x14ac:dyDescent="0.3">
      <c r="A8" t="s">
        <v>956</v>
      </c>
      <c r="B8" t="s">
        <v>834</v>
      </c>
      <c r="C8" t="s">
        <v>835</v>
      </c>
      <c r="D8" t="str">
        <f t="shared" si="0"/>
        <v>Lenivá Diana</v>
      </c>
      <c r="E8" t="str">
        <f t="shared" si="5"/>
        <v>Lenivá Diana</v>
      </c>
      <c r="F8" t="s">
        <v>957</v>
      </c>
      <c r="G8" t="s">
        <v>958</v>
      </c>
      <c r="H8" t="str">
        <f t="shared" si="1"/>
        <v>55</v>
      </c>
      <c r="I8" s="163">
        <f t="shared" si="2"/>
        <v>55</v>
      </c>
      <c r="J8" t="str">
        <f t="shared" si="3"/>
        <v>žena</v>
      </c>
      <c r="K8" t="str">
        <f t="shared" si="4"/>
        <v>žena</v>
      </c>
    </row>
    <row r="9" spans="1:12" x14ac:dyDescent="0.3">
      <c r="A9" t="s">
        <v>959</v>
      </c>
      <c r="B9" t="s">
        <v>543</v>
      </c>
      <c r="C9" t="s">
        <v>820</v>
      </c>
      <c r="D9" t="str">
        <f t="shared" si="0"/>
        <v>Hutý Gustav</v>
      </c>
      <c r="E9" t="str">
        <f t="shared" si="5"/>
        <v>Hutý Gustav</v>
      </c>
      <c r="F9" t="s">
        <v>960</v>
      </c>
      <c r="G9" t="s">
        <v>961</v>
      </c>
      <c r="H9" t="str">
        <f t="shared" si="1"/>
        <v>09</v>
      </c>
      <c r="I9" s="163">
        <f t="shared" si="2"/>
        <v>9</v>
      </c>
      <c r="J9" t="str">
        <f t="shared" si="3"/>
        <v>muž</v>
      </c>
      <c r="K9" t="str">
        <f t="shared" si="4"/>
        <v>muž</v>
      </c>
    </row>
    <row r="10" spans="1:12" x14ac:dyDescent="0.3">
      <c r="A10" t="s">
        <v>962</v>
      </c>
      <c r="B10" t="s">
        <v>643</v>
      </c>
      <c r="C10" t="s">
        <v>827</v>
      </c>
      <c r="D10" t="str">
        <f t="shared" si="0"/>
        <v>Řídká Hana</v>
      </c>
      <c r="E10" t="str">
        <f t="shared" si="5"/>
        <v>Řídká Hana</v>
      </c>
      <c r="F10" t="s">
        <v>963</v>
      </c>
      <c r="G10" t="s">
        <v>964</v>
      </c>
      <c r="H10" t="str">
        <f t="shared" si="1"/>
        <v>60</v>
      </c>
      <c r="I10" s="163">
        <f t="shared" si="2"/>
        <v>60</v>
      </c>
      <c r="J10" t="str">
        <f t="shared" si="3"/>
        <v>žena</v>
      </c>
      <c r="K10" t="str">
        <f t="shared" si="4"/>
        <v>žena</v>
      </c>
    </row>
    <row r="11" spans="1:12" x14ac:dyDescent="0.3">
      <c r="A11" t="s">
        <v>965</v>
      </c>
      <c r="B11" t="s">
        <v>837</v>
      </c>
      <c r="C11" t="s">
        <v>838</v>
      </c>
      <c r="D11" t="str">
        <f t="shared" si="0"/>
        <v>Malá Iva</v>
      </c>
      <c r="E11" t="str">
        <f t="shared" si="5"/>
        <v>Malá Iva</v>
      </c>
      <c r="F11" t="s">
        <v>966</v>
      </c>
      <c r="G11" t="s">
        <v>967</v>
      </c>
      <c r="H11" t="str">
        <f t="shared" si="1"/>
        <v>58</v>
      </c>
      <c r="I11" s="163">
        <f t="shared" si="2"/>
        <v>58</v>
      </c>
      <c r="J11" t="str">
        <f t="shared" si="3"/>
        <v>žena</v>
      </c>
      <c r="K11" t="str">
        <f t="shared" si="4"/>
        <v>žena</v>
      </c>
    </row>
    <row r="12" spans="1:12" x14ac:dyDescent="0.3">
      <c r="A12" t="s">
        <v>968</v>
      </c>
      <c r="B12" t="s">
        <v>847</v>
      </c>
      <c r="C12" t="s">
        <v>848</v>
      </c>
      <c r="D12" t="str">
        <f t="shared" si="0"/>
        <v>Velký Otto</v>
      </c>
      <c r="E12" t="str">
        <f t="shared" si="5"/>
        <v>Velký Otto</v>
      </c>
      <c r="F12" t="s">
        <v>969</v>
      </c>
      <c r="G12" t="s">
        <v>970</v>
      </c>
      <c r="H12" t="str">
        <f t="shared" si="1"/>
        <v>11</v>
      </c>
      <c r="I12" s="163">
        <f t="shared" si="2"/>
        <v>11</v>
      </c>
      <c r="J12" t="str">
        <f t="shared" si="3"/>
        <v>muž</v>
      </c>
      <c r="K12" t="str">
        <f t="shared" si="4"/>
        <v>muž</v>
      </c>
    </row>
    <row r="13" spans="1:12" x14ac:dyDescent="0.3">
      <c r="A13" t="s">
        <v>971</v>
      </c>
      <c r="B13" t="s">
        <v>423</v>
      </c>
      <c r="C13" t="s">
        <v>877</v>
      </c>
      <c r="D13" t="str">
        <f t="shared" si="0"/>
        <v>Opatrný Pavel</v>
      </c>
      <c r="E13" t="str">
        <f t="shared" si="5"/>
        <v>Opatrný Pavel</v>
      </c>
      <c r="F13" t="s">
        <v>972</v>
      </c>
      <c r="G13" t="s">
        <v>973</v>
      </c>
      <c r="H13" t="str">
        <f t="shared" si="1"/>
        <v>10</v>
      </c>
      <c r="I13" s="163">
        <f t="shared" si="2"/>
        <v>10</v>
      </c>
      <c r="J13" t="str">
        <f t="shared" si="3"/>
        <v>muž</v>
      </c>
      <c r="K13" t="str">
        <f t="shared" si="4"/>
        <v>muž</v>
      </c>
    </row>
    <row r="15" spans="1:12" x14ac:dyDescent="0.3">
      <c r="A15" t="s">
        <v>974</v>
      </c>
    </row>
    <row r="16" spans="1:12" x14ac:dyDescent="0.3">
      <c r="A16" t="s">
        <v>975</v>
      </c>
    </row>
    <row r="17" spans="1:1" x14ac:dyDescent="0.3">
      <c r="A17" t="s">
        <v>976</v>
      </c>
    </row>
  </sheetData>
  <hyperlinks>
    <hyperlink ref="L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FF00"/>
  </sheetPr>
  <dimension ref="A1:L39"/>
  <sheetViews>
    <sheetView workbookViewId="0">
      <selection activeCell="A2" sqref="A2"/>
    </sheetView>
  </sheetViews>
  <sheetFormatPr defaultRowHeight="14.4" x14ac:dyDescent="0.3"/>
  <cols>
    <col min="3" max="3" width="14" customWidth="1"/>
    <col min="4" max="4" width="14.33203125" customWidth="1"/>
    <col min="5" max="5" width="13.109375" customWidth="1"/>
    <col min="6" max="6" width="8" customWidth="1"/>
    <col min="7" max="7" width="9" customWidth="1"/>
    <col min="8" max="8" width="8" customWidth="1"/>
  </cols>
  <sheetData>
    <row r="1" spans="1:12" ht="33.75" customHeight="1" x14ac:dyDescent="0.45">
      <c r="A1" s="183" t="s">
        <v>811</v>
      </c>
    </row>
    <row r="2" spans="1:12" x14ac:dyDescent="0.3">
      <c r="A2" s="182" t="s">
        <v>1148</v>
      </c>
    </row>
    <row r="3" spans="1:12" x14ac:dyDescent="0.3">
      <c r="C3" t="s">
        <v>244</v>
      </c>
      <c r="D3" t="s">
        <v>812</v>
      </c>
      <c r="E3" t="s">
        <v>813</v>
      </c>
      <c r="F3" t="s">
        <v>814</v>
      </c>
      <c r="G3" t="s">
        <v>815</v>
      </c>
      <c r="H3" t="s">
        <v>816</v>
      </c>
    </row>
    <row r="4" spans="1:12" x14ac:dyDescent="0.3">
      <c r="C4" t="s">
        <v>817</v>
      </c>
      <c r="D4" t="s">
        <v>818</v>
      </c>
      <c r="E4" t="s">
        <v>277</v>
      </c>
      <c r="F4">
        <v>75</v>
      </c>
      <c r="G4">
        <v>190</v>
      </c>
      <c r="H4">
        <v>16</v>
      </c>
      <c r="K4" t="s">
        <v>277</v>
      </c>
    </row>
    <row r="5" spans="1:12" x14ac:dyDescent="0.3">
      <c r="C5" t="s">
        <v>268</v>
      </c>
      <c r="D5" t="s">
        <v>819</v>
      </c>
      <c r="E5" t="s">
        <v>277</v>
      </c>
      <c r="F5">
        <v>59</v>
      </c>
      <c r="G5">
        <v>180</v>
      </c>
      <c r="H5">
        <v>15</v>
      </c>
      <c r="K5" t="s">
        <v>622</v>
      </c>
    </row>
    <row r="6" spans="1:12" x14ac:dyDescent="0.3">
      <c r="C6" t="s">
        <v>543</v>
      </c>
      <c r="D6" t="s">
        <v>820</v>
      </c>
      <c r="E6" t="s">
        <v>277</v>
      </c>
      <c r="F6">
        <v>102</v>
      </c>
      <c r="G6">
        <v>150</v>
      </c>
      <c r="H6">
        <v>16</v>
      </c>
      <c r="K6" t="s">
        <v>821</v>
      </c>
    </row>
    <row r="7" spans="1:12" x14ac:dyDescent="0.3">
      <c r="C7" t="s">
        <v>643</v>
      </c>
      <c r="D7" t="s">
        <v>822</v>
      </c>
      <c r="E7" t="s">
        <v>277</v>
      </c>
      <c r="F7">
        <v>68</v>
      </c>
      <c r="G7">
        <v>175</v>
      </c>
      <c r="H7">
        <v>17</v>
      </c>
    </row>
    <row r="8" spans="1:12" x14ac:dyDescent="0.3">
      <c r="C8" t="s">
        <v>195</v>
      </c>
      <c r="D8" t="s">
        <v>823</v>
      </c>
      <c r="E8" t="s">
        <v>277</v>
      </c>
      <c r="F8">
        <v>98</v>
      </c>
      <c r="G8">
        <v>190</v>
      </c>
      <c r="H8">
        <v>15</v>
      </c>
    </row>
    <row r="9" spans="1:12" x14ac:dyDescent="0.3">
      <c r="C9" t="s">
        <v>416</v>
      </c>
      <c r="D9" t="s">
        <v>186</v>
      </c>
      <c r="E9" t="s">
        <v>622</v>
      </c>
      <c r="F9">
        <v>80</v>
      </c>
      <c r="G9">
        <v>180</v>
      </c>
      <c r="H9">
        <v>15</v>
      </c>
      <c r="K9" t="s">
        <v>824</v>
      </c>
    </row>
    <row r="10" spans="1:12" x14ac:dyDescent="0.3">
      <c r="C10" t="s">
        <v>271</v>
      </c>
      <c r="D10" t="s">
        <v>825</v>
      </c>
      <c r="E10" t="s">
        <v>622</v>
      </c>
      <c r="F10">
        <v>58</v>
      </c>
      <c r="G10">
        <v>175</v>
      </c>
      <c r="H10">
        <v>15</v>
      </c>
      <c r="L10" t="s">
        <v>826</v>
      </c>
    </row>
    <row r="11" spans="1:12" x14ac:dyDescent="0.3">
      <c r="C11" t="s">
        <v>643</v>
      </c>
      <c r="D11" t="s">
        <v>827</v>
      </c>
      <c r="E11" t="s">
        <v>622</v>
      </c>
      <c r="F11">
        <v>54</v>
      </c>
      <c r="G11">
        <v>165</v>
      </c>
      <c r="H11">
        <v>17</v>
      </c>
      <c r="L11" t="s">
        <v>828</v>
      </c>
    </row>
    <row r="12" spans="1:12" x14ac:dyDescent="0.3">
      <c r="C12" t="s">
        <v>265</v>
      </c>
      <c r="D12" t="s">
        <v>829</v>
      </c>
      <c r="E12" t="s">
        <v>622</v>
      </c>
      <c r="F12">
        <v>56</v>
      </c>
      <c r="G12">
        <v>175</v>
      </c>
      <c r="H12">
        <v>16</v>
      </c>
    </row>
    <row r="13" spans="1:12" x14ac:dyDescent="0.3">
      <c r="C13" t="s">
        <v>416</v>
      </c>
      <c r="D13" t="s">
        <v>830</v>
      </c>
      <c r="E13" t="s">
        <v>622</v>
      </c>
      <c r="F13">
        <v>60</v>
      </c>
      <c r="G13">
        <v>160</v>
      </c>
      <c r="H13">
        <v>14</v>
      </c>
      <c r="K13" t="s">
        <v>831</v>
      </c>
    </row>
    <row r="14" spans="1:12" x14ac:dyDescent="0.3">
      <c r="C14" t="s">
        <v>266</v>
      </c>
      <c r="D14" t="s">
        <v>832</v>
      </c>
      <c r="E14" t="s">
        <v>821</v>
      </c>
      <c r="F14">
        <v>70</v>
      </c>
      <c r="G14">
        <v>180</v>
      </c>
      <c r="H14">
        <v>17</v>
      </c>
      <c r="L14" t="s">
        <v>833</v>
      </c>
    </row>
    <row r="15" spans="1:12" x14ac:dyDescent="0.3">
      <c r="C15" t="s">
        <v>834</v>
      </c>
      <c r="D15" t="s">
        <v>835</v>
      </c>
      <c r="E15" t="s">
        <v>821</v>
      </c>
      <c r="F15">
        <v>57</v>
      </c>
      <c r="G15">
        <v>170</v>
      </c>
      <c r="H15">
        <v>14</v>
      </c>
      <c r="L15" t="s">
        <v>836</v>
      </c>
    </row>
    <row r="16" spans="1:12" x14ac:dyDescent="0.3">
      <c r="C16" t="s">
        <v>837</v>
      </c>
      <c r="D16" t="s">
        <v>838</v>
      </c>
      <c r="E16" t="s">
        <v>821</v>
      </c>
      <c r="F16">
        <v>48</v>
      </c>
      <c r="G16">
        <v>150</v>
      </c>
      <c r="H16">
        <v>16</v>
      </c>
      <c r="L16" t="s">
        <v>839</v>
      </c>
    </row>
    <row r="17" spans="3:12" x14ac:dyDescent="0.3">
      <c r="C17" t="s">
        <v>195</v>
      </c>
      <c r="D17" t="s">
        <v>840</v>
      </c>
      <c r="E17" t="s">
        <v>821</v>
      </c>
      <c r="F17">
        <v>69</v>
      </c>
      <c r="G17">
        <v>180</v>
      </c>
      <c r="H17">
        <v>15</v>
      </c>
      <c r="L17" t="s">
        <v>841</v>
      </c>
    </row>
    <row r="18" spans="3:12" x14ac:dyDescent="0.3">
      <c r="C18" t="s">
        <v>266</v>
      </c>
      <c r="D18" t="s">
        <v>842</v>
      </c>
      <c r="E18" t="s">
        <v>821</v>
      </c>
      <c r="F18">
        <v>75</v>
      </c>
      <c r="G18">
        <v>180</v>
      </c>
      <c r="H18">
        <v>14</v>
      </c>
      <c r="L18" t="s">
        <v>843</v>
      </c>
    </row>
    <row r="19" spans="3:12" x14ac:dyDescent="0.3">
      <c r="C19" t="s">
        <v>643</v>
      </c>
      <c r="D19" t="s">
        <v>844</v>
      </c>
      <c r="E19" t="s">
        <v>845</v>
      </c>
      <c r="F19">
        <v>55</v>
      </c>
      <c r="G19">
        <v>170</v>
      </c>
      <c r="H19">
        <v>15</v>
      </c>
      <c r="L19" t="s">
        <v>846</v>
      </c>
    </row>
    <row r="20" spans="3:12" x14ac:dyDescent="0.3">
      <c r="C20" t="s">
        <v>847</v>
      </c>
      <c r="D20" t="s">
        <v>848</v>
      </c>
      <c r="E20" t="s">
        <v>849</v>
      </c>
      <c r="F20">
        <v>78</v>
      </c>
      <c r="G20">
        <v>170</v>
      </c>
      <c r="H20">
        <v>15</v>
      </c>
      <c r="L20" t="s">
        <v>850</v>
      </c>
    </row>
    <row r="21" spans="3:12" x14ac:dyDescent="0.3">
      <c r="C21" t="s">
        <v>265</v>
      </c>
      <c r="D21" t="s">
        <v>851</v>
      </c>
      <c r="E21" t="s">
        <v>849</v>
      </c>
      <c r="F21">
        <v>70</v>
      </c>
      <c r="G21">
        <v>184</v>
      </c>
      <c r="H21">
        <v>14</v>
      </c>
    </row>
    <row r="22" spans="3:12" x14ac:dyDescent="0.3">
      <c r="C22" t="s">
        <v>834</v>
      </c>
      <c r="D22" t="s">
        <v>852</v>
      </c>
      <c r="E22" t="s">
        <v>853</v>
      </c>
      <c r="F22">
        <v>59</v>
      </c>
      <c r="G22">
        <v>175</v>
      </c>
      <c r="H22">
        <v>17</v>
      </c>
    </row>
    <row r="23" spans="3:12" x14ac:dyDescent="0.3">
      <c r="C23" t="s">
        <v>271</v>
      </c>
      <c r="D23" t="s">
        <v>854</v>
      </c>
      <c r="E23" t="s">
        <v>855</v>
      </c>
      <c r="F23">
        <v>62</v>
      </c>
      <c r="G23">
        <v>175</v>
      </c>
      <c r="H23">
        <v>15</v>
      </c>
    </row>
    <row r="24" spans="3:12" x14ac:dyDescent="0.3">
      <c r="C24" t="s">
        <v>423</v>
      </c>
      <c r="D24" t="s">
        <v>856</v>
      </c>
      <c r="E24" t="s">
        <v>857</v>
      </c>
      <c r="F24">
        <v>66</v>
      </c>
      <c r="G24">
        <v>182</v>
      </c>
      <c r="H24">
        <v>16</v>
      </c>
    </row>
    <row r="25" spans="3:12" x14ac:dyDescent="0.3">
      <c r="C25" t="s">
        <v>543</v>
      </c>
      <c r="D25" t="s">
        <v>858</v>
      </c>
      <c r="E25" t="s">
        <v>859</v>
      </c>
      <c r="F25">
        <v>65</v>
      </c>
      <c r="G25">
        <v>176</v>
      </c>
      <c r="H25">
        <v>16</v>
      </c>
    </row>
    <row r="26" spans="3:12" x14ac:dyDescent="0.3">
      <c r="C26" t="s">
        <v>265</v>
      </c>
      <c r="D26" t="s">
        <v>860</v>
      </c>
      <c r="E26" t="s">
        <v>861</v>
      </c>
      <c r="F26">
        <v>61</v>
      </c>
      <c r="G26">
        <v>195</v>
      </c>
      <c r="H26">
        <v>16</v>
      </c>
    </row>
    <row r="27" spans="3:12" x14ac:dyDescent="0.3">
      <c r="C27" t="s">
        <v>266</v>
      </c>
      <c r="D27" t="s">
        <v>862</v>
      </c>
      <c r="E27" t="s">
        <v>861</v>
      </c>
      <c r="F27">
        <v>85</v>
      </c>
      <c r="G27">
        <v>185</v>
      </c>
      <c r="H27">
        <v>15</v>
      </c>
    </row>
    <row r="28" spans="3:12" x14ac:dyDescent="0.3">
      <c r="C28" t="s">
        <v>643</v>
      </c>
      <c r="D28" t="s">
        <v>863</v>
      </c>
      <c r="E28" t="s">
        <v>864</v>
      </c>
      <c r="F28">
        <v>58</v>
      </c>
      <c r="G28">
        <v>168</v>
      </c>
      <c r="H28">
        <v>15</v>
      </c>
    </row>
    <row r="29" spans="3:12" x14ac:dyDescent="0.3">
      <c r="C29" t="s">
        <v>837</v>
      </c>
      <c r="D29" t="s">
        <v>865</v>
      </c>
      <c r="E29" t="s">
        <v>864</v>
      </c>
      <c r="F29">
        <v>55</v>
      </c>
      <c r="G29">
        <v>172</v>
      </c>
      <c r="H29">
        <v>15</v>
      </c>
    </row>
    <row r="30" spans="3:12" x14ac:dyDescent="0.3">
      <c r="C30" t="s">
        <v>266</v>
      </c>
      <c r="D30" t="s">
        <v>866</v>
      </c>
      <c r="E30" t="s">
        <v>867</v>
      </c>
      <c r="F30">
        <v>75</v>
      </c>
      <c r="G30">
        <v>170</v>
      </c>
      <c r="H30">
        <v>17</v>
      </c>
    </row>
    <row r="31" spans="3:12" x14ac:dyDescent="0.3">
      <c r="C31" t="s">
        <v>416</v>
      </c>
      <c r="D31" t="s">
        <v>868</v>
      </c>
      <c r="E31" t="s">
        <v>867</v>
      </c>
      <c r="F31">
        <v>61</v>
      </c>
      <c r="G31">
        <v>172</v>
      </c>
      <c r="H31">
        <v>16</v>
      </c>
    </row>
    <row r="32" spans="3:12" x14ac:dyDescent="0.3">
      <c r="C32" t="s">
        <v>195</v>
      </c>
      <c r="D32" t="s">
        <v>252</v>
      </c>
      <c r="E32" t="s">
        <v>278</v>
      </c>
      <c r="F32">
        <v>85</v>
      </c>
      <c r="G32">
        <v>175</v>
      </c>
      <c r="H32">
        <v>16</v>
      </c>
    </row>
    <row r="33" spans="3:8" x14ac:dyDescent="0.3">
      <c r="C33" t="s">
        <v>416</v>
      </c>
      <c r="D33" t="s">
        <v>869</v>
      </c>
      <c r="E33" t="s">
        <v>276</v>
      </c>
      <c r="F33">
        <v>56</v>
      </c>
      <c r="G33">
        <v>180</v>
      </c>
      <c r="H33">
        <v>15</v>
      </c>
    </row>
    <row r="34" spans="3:8" x14ac:dyDescent="0.3">
      <c r="C34" t="s">
        <v>817</v>
      </c>
      <c r="D34" t="s">
        <v>870</v>
      </c>
      <c r="E34" t="s">
        <v>276</v>
      </c>
      <c r="F34">
        <v>88</v>
      </c>
      <c r="G34">
        <v>181</v>
      </c>
      <c r="H34">
        <v>14</v>
      </c>
    </row>
    <row r="35" spans="3:8" x14ac:dyDescent="0.3">
      <c r="C35" t="s">
        <v>847</v>
      </c>
      <c r="D35" t="s">
        <v>871</v>
      </c>
      <c r="E35" t="s">
        <v>872</v>
      </c>
      <c r="F35">
        <v>65</v>
      </c>
      <c r="G35">
        <v>179</v>
      </c>
      <c r="H35">
        <v>14</v>
      </c>
    </row>
    <row r="36" spans="3:8" x14ac:dyDescent="0.3">
      <c r="C36" t="s">
        <v>195</v>
      </c>
      <c r="D36" t="s">
        <v>873</v>
      </c>
      <c r="E36" t="s">
        <v>874</v>
      </c>
      <c r="F36">
        <v>99</v>
      </c>
      <c r="G36">
        <v>150</v>
      </c>
      <c r="H36">
        <v>14</v>
      </c>
    </row>
    <row r="37" spans="3:8" x14ac:dyDescent="0.3">
      <c r="C37" t="s">
        <v>265</v>
      </c>
      <c r="D37" t="s">
        <v>875</v>
      </c>
      <c r="E37" t="s">
        <v>876</v>
      </c>
      <c r="F37">
        <v>45</v>
      </c>
      <c r="G37">
        <v>165</v>
      </c>
      <c r="H37">
        <v>16</v>
      </c>
    </row>
    <row r="38" spans="3:8" x14ac:dyDescent="0.3">
      <c r="C38" t="s">
        <v>423</v>
      </c>
      <c r="D38" t="s">
        <v>877</v>
      </c>
      <c r="E38" t="s">
        <v>878</v>
      </c>
      <c r="F38">
        <v>95</v>
      </c>
      <c r="G38">
        <v>201</v>
      </c>
      <c r="H38">
        <v>19</v>
      </c>
    </row>
    <row r="39" spans="3:8" x14ac:dyDescent="0.3">
      <c r="C39" t="s">
        <v>268</v>
      </c>
      <c r="D39" t="s">
        <v>879</v>
      </c>
      <c r="E39" t="s">
        <v>878</v>
      </c>
      <c r="F39">
        <v>68</v>
      </c>
      <c r="G39">
        <v>185</v>
      </c>
      <c r="H39">
        <v>16</v>
      </c>
    </row>
  </sheetData>
  <dataConsolidate/>
  <hyperlinks>
    <hyperlink ref="A2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rgb="FFFFFF00"/>
  </sheetPr>
  <dimension ref="D1:N12"/>
  <sheetViews>
    <sheetView workbookViewId="0">
      <selection activeCell="N1" sqref="N1"/>
    </sheetView>
  </sheetViews>
  <sheetFormatPr defaultRowHeight="14.4" x14ac:dyDescent="0.3"/>
  <cols>
    <col min="4" max="4" width="20.109375" customWidth="1"/>
    <col min="5" max="5" width="17.33203125" customWidth="1"/>
    <col min="6" max="6" width="7.109375" customWidth="1"/>
  </cols>
  <sheetData>
    <row r="1" spans="4:14" x14ac:dyDescent="0.3">
      <c r="N1" s="182" t="s">
        <v>1148</v>
      </c>
    </row>
    <row r="2" spans="4:14" ht="28.8" x14ac:dyDescent="0.3">
      <c r="F2" s="198" t="s">
        <v>992</v>
      </c>
      <c r="G2" s="198" t="s">
        <v>993</v>
      </c>
      <c r="H2" s="198" t="s">
        <v>994</v>
      </c>
      <c r="J2" s="198" t="s">
        <v>995</v>
      </c>
      <c r="K2" s="198" t="s">
        <v>996</v>
      </c>
    </row>
    <row r="3" spans="4:14" x14ac:dyDescent="0.3">
      <c r="D3" t="s">
        <v>997</v>
      </c>
      <c r="E3" t="s">
        <v>998</v>
      </c>
      <c r="F3" s="56" t="str">
        <f>MID(E3,3,2)</f>
        <v>55</v>
      </c>
      <c r="G3" s="163">
        <f>VALUE(F3)</f>
        <v>55</v>
      </c>
      <c r="H3" s="111" t="str">
        <f>IF(_xlfn.NUMBERVALUE(MID(E3,3,2),",")&gt;50,"žena","muž")</f>
        <v>žena</v>
      </c>
      <c r="J3">
        <v>55</v>
      </c>
      <c r="K3" t="str">
        <f>TEXT(J3,"#")</f>
        <v>55</v>
      </c>
    </row>
    <row r="4" spans="4:14" x14ac:dyDescent="0.3">
      <c r="D4" t="s">
        <v>999</v>
      </c>
      <c r="E4" t="s">
        <v>1000</v>
      </c>
      <c r="F4" s="56" t="str">
        <f t="shared" ref="F4:F12" si="0">MID(E4,3,2)</f>
        <v>12</v>
      </c>
      <c r="G4" s="163">
        <f t="shared" ref="G4:G12" si="1">VALUE(F4)</f>
        <v>12</v>
      </c>
      <c r="H4" t="str">
        <f t="shared" ref="H4:H12" si="2">IF(_xlfn.NUMBERVALUE(MID(E4,3,2),",")&gt;50,"žena","muž")</f>
        <v>muž</v>
      </c>
      <c r="J4">
        <v>12</v>
      </c>
      <c r="K4" t="str">
        <f t="shared" ref="K4:K12" si="3">TEXT(J4,"#")</f>
        <v>12</v>
      </c>
    </row>
    <row r="5" spans="4:14" x14ac:dyDescent="0.3">
      <c r="D5" t="s">
        <v>1001</v>
      </c>
      <c r="E5" t="s">
        <v>1002</v>
      </c>
      <c r="F5" s="56" t="str">
        <f t="shared" si="0"/>
        <v>51</v>
      </c>
      <c r="G5" s="163">
        <f t="shared" si="1"/>
        <v>51</v>
      </c>
      <c r="H5" t="str">
        <f t="shared" si="2"/>
        <v>žena</v>
      </c>
      <c r="J5">
        <v>51</v>
      </c>
      <c r="K5" t="str">
        <f t="shared" si="3"/>
        <v>51</v>
      </c>
    </row>
    <row r="6" spans="4:14" x14ac:dyDescent="0.3">
      <c r="D6" t="s">
        <v>1003</v>
      </c>
      <c r="E6" t="s">
        <v>1004</v>
      </c>
      <c r="F6" s="56" t="str">
        <f t="shared" si="0"/>
        <v>05</v>
      </c>
      <c r="G6" s="163">
        <f t="shared" si="1"/>
        <v>5</v>
      </c>
      <c r="H6" t="str">
        <f t="shared" si="2"/>
        <v>muž</v>
      </c>
      <c r="J6">
        <v>5</v>
      </c>
      <c r="K6" t="str">
        <f t="shared" si="3"/>
        <v>5</v>
      </c>
    </row>
    <row r="7" spans="4:14" x14ac:dyDescent="0.3">
      <c r="D7" t="s">
        <v>1005</v>
      </c>
      <c r="E7" t="s">
        <v>1006</v>
      </c>
      <c r="F7" s="56" t="str">
        <f t="shared" si="0"/>
        <v>52</v>
      </c>
      <c r="G7" s="163">
        <f t="shared" si="1"/>
        <v>52</v>
      </c>
      <c r="H7" t="str">
        <f t="shared" si="2"/>
        <v>žena</v>
      </c>
      <c r="J7">
        <v>52</v>
      </c>
      <c r="K7" t="str">
        <f t="shared" si="3"/>
        <v>52</v>
      </c>
    </row>
    <row r="8" spans="4:14" x14ac:dyDescent="0.3">
      <c r="D8" t="s">
        <v>1007</v>
      </c>
      <c r="E8" t="s">
        <v>1008</v>
      </c>
      <c r="F8" s="56" t="str">
        <f t="shared" si="0"/>
        <v>58</v>
      </c>
      <c r="G8" s="163">
        <f t="shared" si="1"/>
        <v>58</v>
      </c>
      <c r="H8" t="str">
        <f t="shared" si="2"/>
        <v>žena</v>
      </c>
      <c r="J8">
        <v>58</v>
      </c>
      <c r="K8" t="str">
        <f t="shared" si="3"/>
        <v>58</v>
      </c>
    </row>
    <row r="9" spans="4:14" x14ac:dyDescent="0.3">
      <c r="D9" t="s">
        <v>1009</v>
      </c>
      <c r="E9" t="s">
        <v>1010</v>
      </c>
      <c r="F9" s="56" t="str">
        <f t="shared" si="0"/>
        <v>52</v>
      </c>
      <c r="G9" s="163">
        <f t="shared" si="1"/>
        <v>52</v>
      </c>
      <c r="H9" t="str">
        <f t="shared" si="2"/>
        <v>žena</v>
      </c>
      <c r="J9">
        <v>52</v>
      </c>
      <c r="K9" t="str">
        <f t="shared" si="3"/>
        <v>52</v>
      </c>
    </row>
    <row r="10" spans="4:14" x14ac:dyDescent="0.3">
      <c r="D10" t="s">
        <v>1011</v>
      </c>
      <c r="E10" t="s">
        <v>1012</v>
      </c>
      <c r="F10" s="56" t="str">
        <f t="shared" si="0"/>
        <v>04</v>
      </c>
      <c r="G10" s="163">
        <f t="shared" si="1"/>
        <v>4</v>
      </c>
      <c r="H10" t="str">
        <f t="shared" si="2"/>
        <v>muž</v>
      </c>
      <c r="J10">
        <v>4</v>
      </c>
      <c r="K10" t="str">
        <f t="shared" si="3"/>
        <v>4</v>
      </c>
    </row>
    <row r="11" spans="4:14" x14ac:dyDescent="0.3">
      <c r="D11" t="s">
        <v>1013</v>
      </c>
      <c r="E11" t="s">
        <v>1014</v>
      </c>
      <c r="F11" s="56" t="str">
        <f t="shared" si="0"/>
        <v>56</v>
      </c>
      <c r="G11" s="163">
        <f t="shared" si="1"/>
        <v>56</v>
      </c>
      <c r="H11" t="str">
        <f t="shared" si="2"/>
        <v>žena</v>
      </c>
      <c r="J11">
        <v>56</v>
      </c>
      <c r="K11" t="str">
        <f t="shared" si="3"/>
        <v>56</v>
      </c>
    </row>
    <row r="12" spans="4:14" x14ac:dyDescent="0.3">
      <c r="D12" t="s">
        <v>1015</v>
      </c>
      <c r="E12" t="s">
        <v>1016</v>
      </c>
      <c r="F12" s="56" t="str">
        <f t="shared" si="0"/>
        <v>11</v>
      </c>
      <c r="G12" s="163">
        <f t="shared" si="1"/>
        <v>11</v>
      </c>
      <c r="H12" t="str">
        <f t="shared" si="2"/>
        <v>muž</v>
      </c>
      <c r="J12">
        <v>11</v>
      </c>
      <c r="K12" t="str">
        <f t="shared" si="3"/>
        <v>11</v>
      </c>
    </row>
  </sheetData>
  <hyperlinks>
    <hyperlink ref="N1" location="Obsah!A1" display="Obsah"/>
  </hyperlinks>
  <pageMargins left="0.7" right="0.7" top="0.78740157499999996" bottom="0.78740157499999996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rgb="FFFFFF00"/>
  </sheetPr>
  <dimension ref="B1:K33"/>
  <sheetViews>
    <sheetView workbookViewId="0">
      <selection activeCell="K1" sqref="K1"/>
    </sheetView>
  </sheetViews>
  <sheetFormatPr defaultRowHeight="14.4" x14ac:dyDescent="0.3"/>
  <cols>
    <col min="2" max="2" width="10" bestFit="1" customWidth="1"/>
    <col min="3" max="4" width="17.6640625" customWidth="1"/>
    <col min="5" max="5" width="19" customWidth="1"/>
  </cols>
  <sheetData>
    <row r="1" spans="2:11" x14ac:dyDescent="0.3">
      <c r="K1" s="182" t="s">
        <v>1148</v>
      </c>
    </row>
    <row r="2" spans="2:11" ht="21" x14ac:dyDescent="0.4">
      <c r="B2" s="38" t="s">
        <v>150</v>
      </c>
    </row>
    <row r="4" spans="2:11" x14ac:dyDescent="0.3">
      <c r="B4" s="18"/>
      <c r="C4" s="37" t="s">
        <v>151</v>
      </c>
      <c r="D4" s="37" t="s">
        <v>152</v>
      </c>
      <c r="E4" s="37" t="s">
        <v>153</v>
      </c>
    </row>
    <row r="5" spans="2:11" x14ac:dyDescent="0.3">
      <c r="B5" s="113">
        <v>6128.6574000000001</v>
      </c>
      <c r="C5" s="113">
        <f>ROUND(B5,2)</f>
        <v>6128.66</v>
      </c>
      <c r="D5" s="113">
        <f>ROUNDDOWN(B5,1)</f>
        <v>6128.6</v>
      </c>
      <c r="E5" s="113">
        <f>ROUNDUP(B5,3)</f>
        <v>6128.6580000000004</v>
      </c>
    </row>
    <row r="25" spans="2:5" ht="23.4" x14ac:dyDescent="0.45">
      <c r="D25" s="199" t="s">
        <v>977</v>
      </c>
    </row>
    <row r="27" spans="2:5" x14ac:dyDescent="0.3">
      <c r="B27" s="34" t="s">
        <v>978</v>
      </c>
      <c r="D27">
        <v>251.25</v>
      </c>
      <c r="E27" t="s">
        <v>979</v>
      </c>
    </row>
    <row r="28" spans="2:5" x14ac:dyDescent="0.3">
      <c r="B28" t="s">
        <v>980</v>
      </c>
      <c r="D28">
        <f>ROUND(D27,1)</f>
        <v>251.3</v>
      </c>
      <c r="E28" s="111" t="s">
        <v>981</v>
      </c>
    </row>
    <row r="29" spans="2:5" x14ac:dyDescent="0.3">
      <c r="B29" t="s">
        <v>982</v>
      </c>
      <c r="D29">
        <f>FLOOR(D27,100)</f>
        <v>200</v>
      </c>
      <c r="E29" s="111" t="s">
        <v>983</v>
      </c>
    </row>
    <row r="30" spans="2:5" x14ac:dyDescent="0.3">
      <c r="B30" t="s">
        <v>984</v>
      </c>
      <c r="D30">
        <f>CEILING(D27,10)</f>
        <v>260</v>
      </c>
      <c r="E30" s="111" t="s">
        <v>985</v>
      </c>
    </row>
    <row r="31" spans="2:5" x14ac:dyDescent="0.3">
      <c r="B31" t="s">
        <v>986</v>
      </c>
      <c r="D31">
        <f>ODD(D27)</f>
        <v>253</v>
      </c>
      <c r="E31" s="111" t="s">
        <v>987</v>
      </c>
    </row>
    <row r="32" spans="2:5" x14ac:dyDescent="0.3">
      <c r="B32" t="s">
        <v>988</v>
      </c>
      <c r="D32">
        <f>EVEN(D27)</f>
        <v>252</v>
      </c>
      <c r="E32" s="111" t="s">
        <v>989</v>
      </c>
    </row>
    <row r="33" spans="2:5" x14ac:dyDescent="0.3">
      <c r="B33" t="s">
        <v>990</v>
      </c>
      <c r="D33" s="163" t="str">
        <f>FIXED(D27,1,TRUE)</f>
        <v>251,3</v>
      </c>
      <c r="E33" s="200" t="s">
        <v>991</v>
      </c>
    </row>
  </sheetData>
  <hyperlinks>
    <hyperlink ref="K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rgb="FF92D050"/>
  </sheetPr>
  <dimension ref="A1:K8"/>
  <sheetViews>
    <sheetView workbookViewId="0">
      <selection activeCell="K1" sqref="K1"/>
    </sheetView>
  </sheetViews>
  <sheetFormatPr defaultRowHeight="14.4" x14ac:dyDescent="0.3"/>
  <cols>
    <col min="1" max="1" width="21.44140625" customWidth="1"/>
    <col min="2" max="2" width="11.44140625" bestFit="1" customWidth="1"/>
    <col min="4" max="4" width="25.44140625" customWidth="1"/>
    <col min="7" max="7" width="23.44140625" customWidth="1"/>
    <col min="8" max="8" width="11.44140625" bestFit="1" customWidth="1"/>
  </cols>
  <sheetData>
    <row r="1" spans="1:11" x14ac:dyDescent="0.3">
      <c r="A1" s="37" t="s">
        <v>159</v>
      </c>
      <c r="B1" s="21">
        <v>10000</v>
      </c>
      <c r="D1" s="37" t="s">
        <v>157</v>
      </c>
      <c r="E1" s="21">
        <v>30000</v>
      </c>
      <c r="G1" s="37" t="s">
        <v>156</v>
      </c>
      <c r="H1" s="21">
        <v>820</v>
      </c>
      <c r="K1" s="182" t="s">
        <v>1148</v>
      </c>
    </row>
    <row r="2" spans="1:11" x14ac:dyDescent="0.3">
      <c r="A2" s="37" t="s">
        <v>154</v>
      </c>
      <c r="B2" s="21">
        <v>12</v>
      </c>
      <c r="D2" s="37" t="s">
        <v>158</v>
      </c>
      <c r="E2" s="21">
        <v>42</v>
      </c>
      <c r="G2" s="37" t="s">
        <v>158</v>
      </c>
      <c r="H2" s="21">
        <v>42</v>
      </c>
    </row>
    <row r="3" spans="1:11" x14ac:dyDescent="0.3">
      <c r="A3" s="37" t="s">
        <v>155</v>
      </c>
      <c r="B3" s="35">
        <v>0.03</v>
      </c>
      <c r="D3" s="37" t="s">
        <v>154</v>
      </c>
      <c r="E3" s="21">
        <v>12</v>
      </c>
      <c r="G3" s="37" t="s">
        <v>154</v>
      </c>
      <c r="H3" s="21">
        <v>12</v>
      </c>
    </row>
    <row r="4" spans="1:11" x14ac:dyDescent="0.3">
      <c r="A4" s="37" t="s">
        <v>156</v>
      </c>
      <c r="B4" s="21">
        <v>1000</v>
      </c>
      <c r="D4" s="37" t="s">
        <v>155</v>
      </c>
      <c r="E4" s="35">
        <v>0.08</v>
      </c>
      <c r="G4" s="37" t="s">
        <v>155</v>
      </c>
      <c r="H4" s="35">
        <v>0.08</v>
      </c>
    </row>
    <row r="5" spans="1:11" x14ac:dyDescent="0.3">
      <c r="A5" s="37" t="s">
        <v>160</v>
      </c>
      <c r="B5" s="21">
        <v>5</v>
      </c>
      <c r="D5" s="37" t="s">
        <v>156</v>
      </c>
      <c r="E5" s="36">
        <f>PMT(E4/E3,E2,-E1,0,0)</f>
        <v>821.30918375061106</v>
      </c>
      <c r="G5" s="37" t="s">
        <v>157</v>
      </c>
      <c r="H5" s="36">
        <f>PV(H4/H3,H2,-H1,0,0)</f>
        <v>29952.179382264843</v>
      </c>
    </row>
    <row r="6" spans="1:11" x14ac:dyDescent="0.3">
      <c r="A6" s="37" t="s">
        <v>161</v>
      </c>
      <c r="B6" s="36">
        <f>FV(B3/B2,B5*B2,-B4,-B1,0)</f>
        <v>76262.880437661079</v>
      </c>
    </row>
    <row r="8" spans="1:11" ht="19.8" x14ac:dyDescent="0.4">
      <c r="A8" s="114" t="s">
        <v>602</v>
      </c>
    </row>
  </sheetData>
  <hyperlinks>
    <hyperlink ref="K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rgb="FF92D050"/>
  </sheetPr>
  <dimension ref="A1:K13"/>
  <sheetViews>
    <sheetView workbookViewId="0">
      <selection activeCell="K1" sqref="K1"/>
    </sheetView>
  </sheetViews>
  <sheetFormatPr defaultRowHeight="14.4" x14ac:dyDescent="0.3"/>
  <cols>
    <col min="1" max="1" width="20.109375" customWidth="1"/>
  </cols>
  <sheetData>
    <row r="1" spans="1:11" ht="21" x14ac:dyDescent="0.4">
      <c r="A1" s="38" t="s">
        <v>162</v>
      </c>
      <c r="K1" s="182" t="s">
        <v>1148</v>
      </c>
    </row>
    <row r="3" spans="1:11" ht="15" thickBot="1" x14ac:dyDescent="0.35">
      <c r="A3" s="115"/>
      <c r="B3" s="115" t="s">
        <v>173</v>
      </c>
      <c r="C3" s="115" t="s">
        <v>174</v>
      </c>
      <c r="D3" s="115" t="s">
        <v>175</v>
      </c>
      <c r="E3" s="41" t="s">
        <v>133</v>
      </c>
      <c r="F3" s="41" t="s">
        <v>176</v>
      </c>
    </row>
    <row r="4" spans="1:11" x14ac:dyDescent="0.3">
      <c r="A4" s="39" t="s">
        <v>163</v>
      </c>
      <c r="B4">
        <v>17</v>
      </c>
      <c r="C4">
        <v>19</v>
      </c>
      <c r="D4">
        <v>13</v>
      </c>
      <c r="E4" s="39">
        <f>SUM(B4:D4)</f>
        <v>49</v>
      </c>
      <c r="F4">
        <f>_xlfn.RANK.EQ(E4,$E$4:$E$13,FALSE)</f>
        <v>4</v>
      </c>
    </row>
    <row r="5" spans="1:11" x14ac:dyDescent="0.3">
      <c r="A5" s="40" t="s">
        <v>164</v>
      </c>
      <c r="B5" s="21">
        <v>18</v>
      </c>
      <c r="C5" s="21">
        <v>16</v>
      </c>
      <c r="D5" s="21">
        <v>16</v>
      </c>
      <c r="E5" s="40">
        <f t="shared" ref="E5:E13" si="0">SUM(B5:D5)</f>
        <v>50</v>
      </c>
      <c r="F5" s="21">
        <f t="shared" ref="F5:F13" si="1">_xlfn.RANK.EQ(E5,$E$4:$E$13,FALSE)</f>
        <v>3</v>
      </c>
    </row>
    <row r="6" spans="1:11" x14ac:dyDescent="0.3">
      <c r="A6" s="40" t="s">
        <v>165</v>
      </c>
      <c r="B6" s="21">
        <v>20</v>
      </c>
      <c r="C6" s="21">
        <v>11</v>
      </c>
      <c r="D6" s="21">
        <v>18</v>
      </c>
      <c r="E6" s="40">
        <f t="shared" si="0"/>
        <v>49</v>
      </c>
      <c r="F6" s="21">
        <f t="shared" si="1"/>
        <v>4</v>
      </c>
    </row>
    <row r="7" spans="1:11" x14ac:dyDescent="0.3">
      <c r="A7" s="40" t="s">
        <v>166</v>
      </c>
      <c r="B7" s="21">
        <v>19</v>
      </c>
      <c r="C7" s="21">
        <v>19</v>
      </c>
      <c r="D7" s="21">
        <v>18</v>
      </c>
      <c r="E7" s="40">
        <f t="shared" si="0"/>
        <v>56</v>
      </c>
      <c r="F7" s="21">
        <f t="shared" si="1"/>
        <v>1</v>
      </c>
    </row>
    <row r="8" spans="1:11" x14ac:dyDescent="0.3">
      <c r="A8" s="40" t="s">
        <v>167</v>
      </c>
      <c r="B8" s="21">
        <v>16</v>
      </c>
      <c r="C8" s="21">
        <v>18</v>
      </c>
      <c r="D8" s="21">
        <v>18</v>
      </c>
      <c r="E8" s="40">
        <f t="shared" si="0"/>
        <v>52</v>
      </c>
      <c r="F8" s="21">
        <f t="shared" si="1"/>
        <v>2</v>
      </c>
    </row>
    <row r="9" spans="1:11" x14ac:dyDescent="0.3">
      <c r="A9" s="40" t="s">
        <v>168</v>
      </c>
      <c r="B9" s="21">
        <v>19</v>
      </c>
      <c r="C9" s="21">
        <v>14</v>
      </c>
      <c r="D9" s="21">
        <v>14</v>
      </c>
      <c r="E9" s="40">
        <f t="shared" si="0"/>
        <v>47</v>
      </c>
      <c r="F9" s="21">
        <f t="shared" si="1"/>
        <v>7</v>
      </c>
    </row>
    <row r="10" spans="1:11" x14ac:dyDescent="0.3">
      <c r="A10" s="40" t="s">
        <v>169</v>
      </c>
      <c r="B10" s="21">
        <v>12</v>
      </c>
      <c r="C10" s="21">
        <v>18</v>
      </c>
      <c r="D10" s="21">
        <v>18</v>
      </c>
      <c r="E10" s="40">
        <f t="shared" si="0"/>
        <v>48</v>
      </c>
      <c r="F10" s="21">
        <f t="shared" si="1"/>
        <v>6</v>
      </c>
    </row>
    <row r="11" spans="1:11" x14ac:dyDescent="0.3">
      <c r="A11" s="40" t="s">
        <v>170</v>
      </c>
      <c r="B11" s="21">
        <v>16</v>
      </c>
      <c r="C11" s="21">
        <v>12</v>
      </c>
      <c r="D11" s="21">
        <v>16</v>
      </c>
      <c r="E11" s="40">
        <f t="shared" si="0"/>
        <v>44</v>
      </c>
      <c r="F11" s="21">
        <f t="shared" si="1"/>
        <v>8</v>
      </c>
    </row>
    <row r="12" spans="1:11" x14ac:dyDescent="0.3">
      <c r="A12" s="40" t="s">
        <v>171</v>
      </c>
      <c r="B12" s="21">
        <v>20</v>
      </c>
      <c r="C12" s="21">
        <v>10</v>
      </c>
      <c r="D12" s="21">
        <v>11</v>
      </c>
      <c r="E12" s="40">
        <f t="shared" si="0"/>
        <v>41</v>
      </c>
      <c r="F12" s="21">
        <f t="shared" si="1"/>
        <v>10</v>
      </c>
    </row>
    <row r="13" spans="1:11" x14ac:dyDescent="0.3">
      <c r="A13" s="40" t="s">
        <v>172</v>
      </c>
      <c r="B13" s="21">
        <v>16</v>
      </c>
      <c r="C13" s="21">
        <v>10</v>
      </c>
      <c r="D13" s="21">
        <v>17</v>
      </c>
      <c r="E13" s="40">
        <f t="shared" si="0"/>
        <v>43</v>
      </c>
      <c r="F13" s="21">
        <f t="shared" si="1"/>
        <v>9</v>
      </c>
    </row>
  </sheetData>
  <hyperlinks>
    <hyperlink ref="K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rgb="FF92D050"/>
  </sheetPr>
  <dimension ref="A1:K20"/>
  <sheetViews>
    <sheetView workbookViewId="0">
      <selection activeCell="K1" sqref="K1"/>
    </sheetView>
  </sheetViews>
  <sheetFormatPr defaultRowHeight="14.4" x14ac:dyDescent="0.3"/>
  <cols>
    <col min="1" max="1" width="17.109375" customWidth="1"/>
    <col min="2" max="2" width="12.33203125" customWidth="1"/>
    <col min="3" max="3" width="11" bestFit="1" customWidth="1"/>
    <col min="6" max="6" width="21.6640625" customWidth="1"/>
    <col min="7" max="7" width="18.44140625" customWidth="1"/>
    <col min="9" max="9" width="15" customWidth="1"/>
    <col min="10" max="10" width="16.33203125" customWidth="1"/>
    <col min="11" max="11" width="13.33203125" customWidth="1"/>
  </cols>
  <sheetData>
    <row r="1" spans="1:11" ht="21" x14ac:dyDescent="0.4">
      <c r="A1" s="38" t="s">
        <v>177</v>
      </c>
      <c r="K1" s="182" t="s">
        <v>1148</v>
      </c>
    </row>
    <row r="3" spans="1:11" x14ac:dyDescent="0.3">
      <c r="A3" s="37" t="s">
        <v>178</v>
      </c>
      <c r="B3" s="37" t="s">
        <v>179</v>
      </c>
      <c r="C3" s="47" t="s">
        <v>1</v>
      </c>
      <c r="D3" s="47" t="s">
        <v>180</v>
      </c>
      <c r="E3" s="48" t="s">
        <v>181</v>
      </c>
      <c r="F3" s="37" t="s">
        <v>182</v>
      </c>
      <c r="G3" s="47" t="s">
        <v>183</v>
      </c>
      <c r="I3" s="34" t="s">
        <v>226</v>
      </c>
    </row>
    <row r="4" spans="1:11" x14ac:dyDescent="0.3">
      <c r="A4" s="21" t="s">
        <v>185</v>
      </c>
      <c r="B4" s="21" t="s">
        <v>195</v>
      </c>
      <c r="C4" s="44">
        <v>17747</v>
      </c>
      <c r="D4" s="52">
        <v>65</v>
      </c>
      <c r="E4" s="49" t="s">
        <v>205</v>
      </c>
      <c r="F4" s="51" t="str">
        <f>VLOOKUP(E4,$I$5:$K$12,3,FALSE)</f>
        <v>Makarská</v>
      </c>
      <c r="G4" s="50">
        <f>VLOOKUP(D4,$I$16:$J$20,2,TRUE)</f>
        <v>500</v>
      </c>
      <c r="I4" s="42" t="s">
        <v>181</v>
      </c>
      <c r="J4" s="42" t="s">
        <v>184</v>
      </c>
      <c r="K4" s="42" t="s">
        <v>182</v>
      </c>
    </row>
    <row r="5" spans="1:11" x14ac:dyDescent="0.3">
      <c r="A5" s="21" t="s">
        <v>186</v>
      </c>
      <c r="B5" s="21" t="s">
        <v>196</v>
      </c>
      <c r="C5" s="44">
        <v>21308</v>
      </c>
      <c r="D5" s="52">
        <v>55</v>
      </c>
      <c r="E5" s="49" t="s">
        <v>206</v>
      </c>
      <c r="F5" s="51" t="str">
        <f t="shared" ref="F5:F13" si="0">VLOOKUP(E5,$I$5:$K$12,3,FALSE)</f>
        <v>Lipno</v>
      </c>
      <c r="G5" s="50">
        <f>VLOOKUP(D5,$I$16:$J$20,2,TRUE)</f>
        <v>450</v>
      </c>
      <c r="I5" s="21" t="s">
        <v>205</v>
      </c>
      <c r="J5" s="21" t="s">
        <v>213</v>
      </c>
      <c r="K5" s="21" t="s">
        <v>218</v>
      </c>
    </row>
    <row r="6" spans="1:11" x14ac:dyDescent="0.3">
      <c r="A6" s="21" t="s">
        <v>187</v>
      </c>
      <c r="B6" s="21" t="s">
        <v>197</v>
      </c>
      <c r="C6" s="44">
        <v>32083</v>
      </c>
      <c r="D6" s="52">
        <v>29</v>
      </c>
      <c r="E6" s="49" t="s">
        <v>207</v>
      </c>
      <c r="F6" s="51" t="str">
        <f t="shared" si="0"/>
        <v>Rujana</v>
      </c>
      <c r="G6" s="50">
        <f t="shared" ref="G6:G13" si="1">VLOOKUP(D6,$I$16:$J$20,2,TRUE)</f>
        <v>350</v>
      </c>
      <c r="I6" s="21" t="s">
        <v>206</v>
      </c>
      <c r="J6" s="21" t="s">
        <v>214</v>
      </c>
      <c r="K6" s="21" t="s">
        <v>219</v>
      </c>
    </row>
    <row r="7" spans="1:11" x14ac:dyDescent="0.3">
      <c r="A7" s="21" t="s">
        <v>188</v>
      </c>
      <c r="B7" s="21" t="s">
        <v>198</v>
      </c>
      <c r="C7" s="44">
        <v>33724</v>
      </c>
      <c r="D7" s="52">
        <v>24</v>
      </c>
      <c r="E7" s="49" t="s">
        <v>208</v>
      </c>
      <c r="F7" s="51" t="str">
        <f t="shared" si="0"/>
        <v>Saint Tropez</v>
      </c>
      <c r="G7" s="50">
        <f t="shared" si="1"/>
        <v>350</v>
      </c>
      <c r="I7" s="21" t="s">
        <v>208</v>
      </c>
      <c r="J7" s="21" t="s">
        <v>215</v>
      </c>
      <c r="K7" s="21" t="s">
        <v>220</v>
      </c>
    </row>
    <row r="8" spans="1:11" x14ac:dyDescent="0.3">
      <c r="A8" s="21" t="s">
        <v>189</v>
      </c>
      <c r="B8" s="21" t="s">
        <v>199</v>
      </c>
      <c r="C8" s="44">
        <v>24138</v>
      </c>
      <c r="D8" s="52">
        <v>50</v>
      </c>
      <c r="E8" s="49" t="s">
        <v>206</v>
      </c>
      <c r="F8" s="51" t="str">
        <f t="shared" si="0"/>
        <v>Lipno</v>
      </c>
      <c r="G8" s="50">
        <f t="shared" si="1"/>
        <v>400</v>
      </c>
      <c r="I8" s="21" t="s">
        <v>207</v>
      </c>
      <c r="J8" s="21" t="s">
        <v>216</v>
      </c>
      <c r="K8" s="21" t="s">
        <v>221</v>
      </c>
    </row>
    <row r="9" spans="1:11" x14ac:dyDescent="0.3">
      <c r="A9" s="21" t="s">
        <v>190</v>
      </c>
      <c r="B9" s="21" t="s">
        <v>200</v>
      </c>
      <c r="C9" s="44">
        <v>19832</v>
      </c>
      <c r="D9" s="52">
        <v>62</v>
      </c>
      <c r="E9" s="49" t="s">
        <v>205</v>
      </c>
      <c r="F9" s="51" t="str">
        <f t="shared" si="0"/>
        <v>Makarská</v>
      </c>
      <c r="G9" s="50">
        <f t="shared" si="1"/>
        <v>450</v>
      </c>
      <c r="I9" s="21" t="s">
        <v>210</v>
      </c>
      <c r="J9" s="21" t="s">
        <v>217</v>
      </c>
      <c r="K9" s="21" t="s">
        <v>222</v>
      </c>
    </row>
    <row r="10" spans="1:11" x14ac:dyDescent="0.3">
      <c r="A10" s="21" t="s">
        <v>191</v>
      </c>
      <c r="B10" s="21" t="s">
        <v>201</v>
      </c>
      <c r="C10" s="44">
        <v>29831</v>
      </c>
      <c r="D10" s="52">
        <v>35</v>
      </c>
      <c r="E10" s="49" t="s">
        <v>205</v>
      </c>
      <c r="F10" s="51" t="str">
        <f t="shared" si="0"/>
        <v>Makarská</v>
      </c>
      <c r="G10" s="50">
        <f t="shared" si="1"/>
        <v>350</v>
      </c>
      <c r="I10" s="21" t="s">
        <v>211</v>
      </c>
      <c r="J10" s="21" t="s">
        <v>213</v>
      </c>
      <c r="K10" s="21" t="s">
        <v>223</v>
      </c>
    </row>
    <row r="11" spans="1:11" x14ac:dyDescent="0.3">
      <c r="A11" s="21" t="s">
        <v>192</v>
      </c>
      <c r="B11" s="21" t="s">
        <v>202</v>
      </c>
      <c r="C11" s="44">
        <v>26301</v>
      </c>
      <c r="D11" s="52">
        <v>45</v>
      </c>
      <c r="E11" s="49" t="s">
        <v>209</v>
      </c>
      <c r="F11" s="51" t="str">
        <f t="shared" si="0"/>
        <v>Piešťany</v>
      </c>
      <c r="G11" s="50">
        <f t="shared" si="1"/>
        <v>400</v>
      </c>
      <c r="I11" s="21" t="s">
        <v>209</v>
      </c>
      <c r="J11" s="21" t="s">
        <v>217</v>
      </c>
      <c r="K11" s="21" t="s">
        <v>224</v>
      </c>
    </row>
    <row r="12" spans="1:11" x14ac:dyDescent="0.3">
      <c r="A12" s="21" t="s">
        <v>193</v>
      </c>
      <c r="B12" s="21" t="s">
        <v>203</v>
      </c>
      <c r="C12" s="44">
        <v>31369</v>
      </c>
      <c r="D12" s="52">
        <v>31</v>
      </c>
      <c r="E12" s="49" t="s">
        <v>207</v>
      </c>
      <c r="F12" s="51" t="str">
        <f t="shared" si="0"/>
        <v>Rujana</v>
      </c>
      <c r="G12" s="50">
        <f t="shared" si="1"/>
        <v>350</v>
      </c>
      <c r="I12" s="21" t="s">
        <v>212</v>
      </c>
      <c r="J12" s="21" t="s">
        <v>214</v>
      </c>
      <c r="K12" s="21" t="s">
        <v>225</v>
      </c>
    </row>
    <row r="13" spans="1:11" x14ac:dyDescent="0.3">
      <c r="A13" s="21" t="s">
        <v>194</v>
      </c>
      <c r="B13" s="21" t="s">
        <v>204</v>
      </c>
      <c r="C13" s="44">
        <v>22717</v>
      </c>
      <c r="D13" s="52">
        <v>54</v>
      </c>
      <c r="E13" s="49" t="s">
        <v>208</v>
      </c>
      <c r="F13" s="51" t="str">
        <f t="shared" si="0"/>
        <v>Saint Tropez</v>
      </c>
      <c r="G13" s="50">
        <f t="shared" si="1"/>
        <v>400</v>
      </c>
    </row>
    <row r="14" spans="1:11" x14ac:dyDescent="0.3">
      <c r="I14" s="43" t="s">
        <v>228</v>
      </c>
      <c r="J14" s="21"/>
    </row>
    <row r="15" spans="1:11" x14ac:dyDescent="0.3">
      <c r="A15" t="s">
        <v>227</v>
      </c>
      <c r="B15">
        <v>2017</v>
      </c>
      <c r="I15" s="45" t="s">
        <v>143</v>
      </c>
      <c r="J15" s="45" t="s">
        <v>229</v>
      </c>
    </row>
    <row r="16" spans="1:11" x14ac:dyDescent="0.3">
      <c r="I16" s="46">
        <v>0</v>
      </c>
      <c r="J16" s="46">
        <v>500</v>
      </c>
    </row>
    <row r="17" spans="9:10" x14ac:dyDescent="0.3">
      <c r="I17" s="46">
        <v>18</v>
      </c>
      <c r="J17" s="46">
        <v>350</v>
      </c>
    </row>
    <row r="18" spans="9:10" x14ac:dyDescent="0.3">
      <c r="I18" s="46">
        <v>40</v>
      </c>
      <c r="J18" s="46">
        <v>400</v>
      </c>
    </row>
    <row r="19" spans="9:10" x14ac:dyDescent="0.3">
      <c r="I19" s="46">
        <v>55</v>
      </c>
      <c r="J19" s="46">
        <v>450</v>
      </c>
    </row>
    <row r="20" spans="9:10" x14ac:dyDescent="0.3">
      <c r="I20" s="46">
        <v>65</v>
      </c>
      <c r="J20" s="46">
        <v>500</v>
      </c>
    </row>
  </sheetData>
  <hyperlinks>
    <hyperlink ref="K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</sheetPr>
  <dimension ref="A1:J8"/>
  <sheetViews>
    <sheetView zoomScale="115" zoomScaleNormal="115" workbookViewId="0">
      <selection activeCell="I1" sqref="I1"/>
    </sheetView>
  </sheetViews>
  <sheetFormatPr defaultRowHeight="14.4" x14ac:dyDescent="0.3"/>
  <cols>
    <col min="1" max="6" width="13.33203125" customWidth="1"/>
  </cols>
  <sheetData>
    <row r="1" spans="1:10" ht="21" x14ac:dyDescent="0.4">
      <c r="A1" s="38" t="s">
        <v>230</v>
      </c>
      <c r="I1" s="182" t="s">
        <v>1148</v>
      </c>
    </row>
    <row r="3" spans="1:10" ht="28.8" x14ac:dyDescent="0.3">
      <c r="A3" s="18"/>
      <c r="B3" s="53" t="s">
        <v>116</v>
      </c>
      <c r="C3" s="53" t="s">
        <v>117</v>
      </c>
      <c r="D3" s="53" t="s">
        <v>118</v>
      </c>
      <c r="E3" s="53" t="s">
        <v>119</v>
      </c>
      <c r="F3" s="54" t="s">
        <v>231</v>
      </c>
    </row>
    <row r="4" spans="1:10" x14ac:dyDescent="0.3">
      <c r="A4" s="43" t="s">
        <v>113</v>
      </c>
      <c r="B4" s="55">
        <v>15.8</v>
      </c>
      <c r="C4" s="55">
        <v>21.87</v>
      </c>
      <c r="D4" s="55">
        <v>25.3</v>
      </c>
      <c r="E4" s="55">
        <v>19.3</v>
      </c>
      <c r="F4" s="116">
        <f>ROUND(SUM(B4:E4),0)</f>
        <v>82</v>
      </c>
      <c r="H4" s="56"/>
      <c r="J4" s="56"/>
    </row>
    <row r="5" spans="1:10" x14ac:dyDescent="0.3">
      <c r="J5" s="56"/>
    </row>
    <row r="6" spans="1:10" x14ac:dyDescent="0.3">
      <c r="F6" s="56"/>
    </row>
    <row r="8" spans="1:10" x14ac:dyDescent="0.3">
      <c r="I8" s="56"/>
    </row>
  </sheetData>
  <hyperlinks>
    <hyperlink ref="I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">
    <tabColor rgb="FF92D050"/>
  </sheetPr>
  <dimension ref="A1:H37"/>
  <sheetViews>
    <sheetView workbookViewId="0">
      <selection activeCell="H1" sqref="H1"/>
    </sheetView>
  </sheetViews>
  <sheetFormatPr defaultRowHeight="14.4" x14ac:dyDescent="0.3"/>
  <cols>
    <col min="1" max="1" width="22.109375" customWidth="1"/>
    <col min="2" max="2" width="6.44140625" customWidth="1"/>
    <col min="3" max="3" width="26.6640625" customWidth="1"/>
    <col min="5" max="5" width="28.33203125" customWidth="1"/>
  </cols>
  <sheetData>
    <row r="1" spans="1:8" ht="21" x14ac:dyDescent="0.4">
      <c r="A1" s="38" t="s">
        <v>232</v>
      </c>
      <c r="C1" s="38" t="s">
        <v>239</v>
      </c>
      <c r="H1" s="182" t="s">
        <v>1148</v>
      </c>
    </row>
    <row r="3" spans="1:8" ht="16.2" x14ac:dyDescent="0.3">
      <c r="A3" s="57" t="s">
        <v>234</v>
      </c>
      <c r="C3" s="57" t="s">
        <v>237</v>
      </c>
      <c r="E3" s="57" t="s">
        <v>235</v>
      </c>
    </row>
    <row r="4" spans="1:8" x14ac:dyDescent="0.3">
      <c r="A4" s="56">
        <v>6</v>
      </c>
      <c r="C4" s="56">
        <f>PI()*POWER(A7,2)/4</f>
        <v>50.26548245743669</v>
      </c>
      <c r="E4" s="56">
        <f>C10*C7/(100^3)</f>
        <v>2.3765520105876066</v>
      </c>
    </row>
    <row r="6" spans="1:8" ht="16.2" x14ac:dyDescent="0.3">
      <c r="A6" s="57" t="s">
        <v>233</v>
      </c>
      <c r="C6" s="57" t="s">
        <v>236</v>
      </c>
    </row>
    <row r="7" spans="1:8" x14ac:dyDescent="0.3">
      <c r="A7" s="56">
        <v>8</v>
      </c>
      <c r="C7" s="56">
        <f>A4*C4</f>
        <v>301.59289474462014</v>
      </c>
    </row>
    <row r="9" spans="1:8" ht="16.2" x14ac:dyDescent="0.3">
      <c r="C9" s="57" t="s">
        <v>238</v>
      </c>
    </row>
    <row r="10" spans="1:8" x14ac:dyDescent="0.3">
      <c r="C10" s="56">
        <v>7880</v>
      </c>
    </row>
    <row r="37" spans="1:1" ht="21" x14ac:dyDescent="0.4">
      <c r="A37" s="38" t="s">
        <v>239</v>
      </c>
    </row>
  </sheetData>
  <hyperlinks>
    <hyperlink ref="H1" location="Obsah!A1" display="Obsah"/>
  </hyperlink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rgb="FF92D050"/>
  </sheetPr>
  <dimension ref="B1:L11"/>
  <sheetViews>
    <sheetView topLeftCell="A14" workbookViewId="0"/>
  </sheetViews>
  <sheetFormatPr defaultRowHeight="14.4" x14ac:dyDescent="0.3"/>
  <cols>
    <col min="1" max="1" width="1.6640625" customWidth="1"/>
    <col min="2" max="2" width="15" customWidth="1"/>
    <col min="4" max="4" width="12.5546875" bestFit="1" customWidth="1"/>
  </cols>
  <sheetData>
    <row r="1" spans="2:12" ht="21" x14ac:dyDescent="0.4">
      <c r="B1" s="38" t="s">
        <v>240</v>
      </c>
      <c r="L1" s="182" t="s">
        <v>1148</v>
      </c>
    </row>
    <row r="5" spans="2:12" ht="15" thickBot="1" x14ac:dyDescent="0.35"/>
    <row r="6" spans="2:12" ht="18.600000000000001" thickBot="1" x14ac:dyDescent="0.4">
      <c r="B6" s="142" t="s">
        <v>363</v>
      </c>
      <c r="C6" s="143" t="s">
        <v>603</v>
      </c>
      <c r="D6" s="144" t="s">
        <v>604</v>
      </c>
      <c r="H6" s="117"/>
    </row>
    <row r="7" spans="2:12" x14ac:dyDescent="0.3">
      <c r="B7" s="118" t="s">
        <v>605</v>
      </c>
      <c r="C7" s="119">
        <v>35</v>
      </c>
      <c r="D7" s="120">
        <f>C7*100/$D$11</f>
        <v>41.176470588235297</v>
      </c>
    </row>
    <row r="8" spans="2:12" x14ac:dyDescent="0.3">
      <c r="B8" s="121" t="s">
        <v>606</v>
      </c>
      <c r="C8" s="122">
        <v>45</v>
      </c>
      <c r="D8" s="123">
        <f t="shared" ref="D8:D9" si="0">C8*100/$D$11</f>
        <v>52.941176470588232</v>
      </c>
    </row>
    <row r="9" spans="2:12" ht="15" thickBot="1" x14ac:dyDescent="0.35">
      <c r="B9" s="124" t="s">
        <v>607</v>
      </c>
      <c r="C9" s="125">
        <v>5</v>
      </c>
      <c r="D9" s="126">
        <f t="shared" si="0"/>
        <v>5.882352941176471</v>
      </c>
    </row>
    <row r="11" spans="2:12" x14ac:dyDescent="0.3">
      <c r="B11" t="s">
        <v>608</v>
      </c>
      <c r="D11">
        <f>SUM(C7:C9)</f>
        <v>85</v>
      </c>
    </row>
  </sheetData>
  <hyperlinks>
    <hyperlink ref="L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1">
    <tabColor rgb="FF92D050"/>
  </sheetPr>
  <dimension ref="A1:L32"/>
  <sheetViews>
    <sheetView workbookViewId="0">
      <selection activeCell="L12" sqref="L12"/>
    </sheetView>
  </sheetViews>
  <sheetFormatPr defaultColWidth="9.109375" defaultRowHeight="14.4" x14ac:dyDescent="0.3"/>
  <cols>
    <col min="1" max="5" width="15.6640625" style="24" customWidth="1"/>
    <col min="6" max="16384" width="9.109375" style="24"/>
  </cols>
  <sheetData>
    <row r="1" spans="1:12" ht="15" thickBot="1" x14ac:dyDescent="0.35">
      <c r="A1" s="138" t="s">
        <v>336</v>
      </c>
      <c r="B1" s="140" t="s">
        <v>333</v>
      </c>
      <c r="C1" s="140" t="s">
        <v>334</v>
      </c>
      <c r="D1" s="140" t="s">
        <v>332</v>
      </c>
      <c r="E1" s="140" t="s">
        <v>335</v>
      </c>
      <c r="G1" s="139" t="s">
        <v>612</v>
      </c>
      <c r="L1" s="182" t="s">
        <v>1148</v>
      </c>
    </row>
    <row r="2" spans="1:12" ht="15" thickBot="1" x14ac:dyDescent="0.35">
      <c r="A2" s="138" t="s">
        <v>252</v>
      </c>
      <c r="B2" s="131">
        <v>22864</v>
      </c>
      <c r="C2" s="131">
        <v>16725</v>
      </c>
      <c r="D2" s="131">
        <v>20428</v>
      </c>
      <c r="E2" s="131">
        <v>25827</v>
      </c>
      <c r="J2" s="138" t="s">
        <v>615</v>
      </c>
    </row>
    <row r="3" spans="1:12" ht="15" thickBot="1" x14ac:dyDescent="0.35">
      <c r="A3" s="137" t="s">
        <v>337</v>
      </c>
      <c r="B3" s="129">
        <v>22483</v>
      </c>
      <c r="C3" s="129">
        <v>14347</v>
      </c>
      <c r="D3" s="129">
        <v>19969</v>
      </c>
      <c r="E3" s="129">
        <v>24997</v>
      </c>
      <c r="I3" s="140" t="s">
        <v>333</v>
      </c>
      <c r="J3" s="129">
        <v>21258</v>
      </c>
    </row>
    <row r="4" spans="1:12" ht="15" thickBot="1" x14ac:dyDescent="0.35">
      <c r="A4" s="137" t="s">
        <v>338</v>
      </c>
      <c r="B4" s="129">
        <v>24307</v>
      </c>
      <c r="C4" s="129">
        <v>13741</v>
      </c>
      <c r="D4" s="129">
        <v>26421</v>
      </c>
      <c r="E4" s="129">
        <v>27745</v>
      </c>
      <c r="I4" s="140" t="s">
        <v>334</v>
      </c>
      <c r="J4" s="129">
        <v>15371</v>
      </c>
    </row>
    <row r="5" spans="1:12" ht="15" thickBot="1" x14ac:dyDescent="0.35">
      <c r="A5" s="137" t="s">
        <v>339</v>
      </c>
      <c r="B5" s="129">
        <v>14017</v>
      </c>
      <c r="C5" s="129">
        <v>20297</v>
      </c>
      <c r="D5" s="129">
        <v>26473</v>
      </c>
      <c r="E5" s="129">
        <v>24833</v>
      </c>
      <c r="I5" s="140" t="s">
        <v>332</v>
      </c>
      <c r="J5" s="129">
        <v>21211</v>
      </c>
    </row>
    <row r="6" spans="1:12" ht="15" thickBot="1" x14ac:dyDescent="0.35">
      <c r="A6" s="136" t="s">
        <v>610</v>
      </c>
      <c r="B6" s="135">
        <v>18431</v>
      </c>
      <c r="C6" s="135">
        <v>21584</v>
      </c>
      <c r="D6" s="135">
        <v>27919</v>
      </c>
      <c r="E6" s="135">
        <v>25679</v>
      </c>
      <c r="I6" s="140" t="s">
        <v>335</v>
      </c>
      <c r="J6" s="129">
        <v>18567</v>
      </c>
    </row>
    <row r="9" spans="1:12" x14ac:dyDescent="0.3">
      <c r="I9" s="286"/>
    </row>
    <row r="10" spans="1:12" x14ac:dyDescent="0.3">
      <c r="I10" s="286"/>
    </row>
    <row r="11" spans="1:12" x14ac:dyDescent="0.3">
      <c r="I11" s="286"/>
    </row>
    <row r="12" spans="1:12" x14ac:dyDescent="0.3">
      <c r="I12" s="286"/>
    </row>
    <row r="13" spans="1:12" x14ac:dyDescent="0.3">
      <c r="I13" s="286"/>
    </row>
    <row r="14" spans="1:12" x14ac:dyDescent="0.3">
      <c r="I14" s="286"/>
    </row>
    <row r="15" spans="1:12" x14ac:dyDescent="0.3">
      <c r="I15" s="286"/>
    </row>
    <row r="16" spans="1:12" x14ac:dyDescent="0.3">
      <c r="I16" s="286"/>
    </row>
    <row r="17" spans="1:9" x14ac:dyDescent="0.3">
      <c r="I17" s="286"/>
    </row>
    <row r="18" spans="1:9" x14ac:dyDescent="0.3">
      <c r="I18" s="286"/>
    </row>
    <row r="19" spans="1:9" x14ac:dyDescent="0.3">
      <c r="I19" s="286"/>
    </row>
    <row r="20" spans="1:9" x14ac:dyDescent="0.3">
      <c r="I20" s="286"/>
    </row>
    <row r="21" spans="1:9" x14ac:dyDescent="0.3">
      <c r="I21" s="286"/>
    </row>
    <row r="22" spans="1:9" x14ac:dyDescent="0.3">
      <c r="I22" s="286"/>
    </row>
    <row r="23" spans="1:9" x14ac:dyDescent="0.3">
      <c r="I23" s="286"/>
    </row>
    <row r="24" spans="1:9" x14ac:dyDescent="0.3">
      <c r="I24" s="286"/>
    </row>
    <row r="25" spans="1:9" x14ac:dyDescent="0.3">
      <c r="I25" s="286"/>
    </row>
    <row r="27" spans="1:9" x14ac:dyDescent="0.3">
      <c r="A27" s="134" t="s">
        <v>611</v>
      </c>
    </row>
    <row r="28" spans="1:9" ht="15" thickBot="1" x14ac:dyDescent="0.35"/>
    <row r="29" spans="1:9" ht="15" thickBot="1" x14ac:dyDescent="0.35">
      <c r="A29" s="132"/>
      <c r="B29" s="133" t="s">
        <v>333</v>
      </c>
      <c r="C29" s="133" t="s">
        <v>334</v>
      </c>
      <c r="D29" s="133" t="s">
        <v>332</v>
      </c>
      <c r="E29" s="133" t="s">
        <v>335</v>
      </c>
    </row>
    <row r="30" spans="1:9" x14ac:dyDescent="0.3">
      <c r="A30" s="132" t="s">
        <v>610</v>
      </c>
      <c r="B30" s="131">
        <v>18431</v>
      </c>
      <c r="C30" s="131">
        <v>21584</v>
      </c>
      <c r="D30" s="131">
        <v>27919</v>
      </c>
      <c r="E30" s="131">
        <v>25679</v>
      </c>
    </row>
    <row r="31" spans="1:9" x14ac:dyDescent="0.3">
      <c r="A31" s="130" t="s">
        <v>609</v>
      </c>
      <c r="B31" s="129">
        <v>17466</v>
      </c>
      <c r="C31" s="129">
        <v>20694</v>
      </c>
      <c r="D31" s="129">
        <v>26602</v>
      </c>
      <c r="E31" s="129">
        <v>27081</v>
      </c>
    </row>
    <row r="32" spans="1:9" ht="15" thickBot="1" x14ac:dyDescent="0.35">
      <c r="A32" s="128" t="s">
        <v>340</v>
      </c>
      <c r="B32" s="127">
        <v>16889</v>
      </c>
      <c r="C32" s="127">
        <v>21647</v>
      </c>
      <c r="D32" s="127">
        <v>27552</v>
      </c>
      <c r="E32" s="127">
        <v>24359</v>
      </c>
    </row>
  </sheetData>
  <hyperlinks>
    <hyperlink ref="L1" location="Obsah!A1" display="Obsah"/>
  </hyperlinks>
  <pageMargins left="0.7" right="0.7" top="0.78740157499999996" bottom="0.78740157499999996" header="0.3" footer="0.3"/>
  <pageSetup paperSize="9" orientation="portrait" r:id="rId1"/>
  <customProperties>
    <customPr name="T478" r:id="rId2"/>
  </customProperties>
  <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rgb="FF92D050"/>
  </sheetPr>
  <dimension ref="A1:G32"/>
  <sheetViews>
    <sheetView workbookViewId="0">
      <selection activeCell="H3" sqref="H3"/>
    </sheetView>
  </sheetViews>
  <sheetFormatPr defaultColWidth="9.109375" defaultRowHeight="14.4" x14ac:dyDescent="0.3"/>
  <cols>
    <col min="1" max="5" width="15.6640625" style="24" customWidth="1"/>
    <col min="6" max="16384" width="9.109375" style="24"/>
  </cols>
  <sheetData>
    <row r="1" spans="1:7" ht="15" thickBot="1" x14ac:dyDescent="0.35">
      <c r="A1" s="138" t="s">
        <v>336</v>
      </c>
      <c r="B1" s="140" t="s">
        <v>333</v>
      </c>
      <c r="C1" s="140" t="s">
        <v>334</v>
      </c>
      <c r="D1" s="140" t="s">
        <v>332</v>
      </c>
      <c r="E1" s="140" t="s">
        <v>335</v>
      </c>
      <c r="G1" s="139" t="s">
        <v>612</v>
      </c>
    </row>
    <row r="2" spans="1:7" x14ac:dyDescent="0.3">
      <c r="A2" s="138" t="s">
        <v>252</v>
      </c>
      <c r="B2" s="131">
        <v>22864</v>
      </c>
      <c r="C2" s="131">
        <v>16725</v>
      </c>
      <c r="D2" s="131">
        <v>20428</v>
      </c>
      <c r="E2" s="131">
        <v>25827</v>
      </c>
    </row>
    <row r="3" spans="1:7" x14ac:dyDescent="0.3">
      <c r="A3" s="137" t="s">
        <v>337</v>
      </c>
      <c r="B3" s="129">
        <v>22483</v>
      </c>
      <c r="C3" s="129">
        <v>14347</v>
      </c>
      <c r="D3" s="129">
        <v>19969</v>
      </c>
      <c r="E3" s="129">
        <v>24997</v>
      </c>
    </row>
    <row r="4" spans="1:7" x14ac:dyDescent="0.3">
      <c r="A4" s="137" t="s">
        <v>338</v>
      </c>
      <c r="B4" s="129">
        <v>24307</v>
      </c>
      <c r="C4" s="129">
        <v>13741</v>
      </c>
      <c r="D4" s="129">
        <v>26421</v>
      </c>
      <c r="E4" s="129">
        <v>27745</v>
      </c>
    </row>
    <row r="5" spans="1:7" x14ac:dyDescent="0.3">
      <c r="A5" s="137" t="s">
        <v>339</v>
      </c>
      <c r="B5" s="129">
        <v>14017</v>
      </c>
      <c r="C5" s="129">
        <v>20297</v>
      </c>
      <c r="D5" s="129">
        <v>26473</v>
      </c>
      <c r="E5" s="129">
        <v>24833</v>
      </c>
    </row>
    <row r="6" spans="1:7" ht="15" thickBot="1" x14ac:dyDescent="0.35">
      <c r="A6" s="136" t="s">
        <v>610</v>
      </c>
      <c r="B6" s="135">
        <v>18431</v>
      </c>
      <c r="C6" s="135">
        <v>21584</v>
      </c>
      <c r="D6" s="135">
        <v>27919</v>
      </c>
      <c r="E6" s="135">
        <v>25679</v>
      </c>
    </row>
    <row r="27" spans="1:5" x14ac:dyDescent="0.3">
      <c r="A27" s="134" t="s">
        <v>611</v>
      </c>
    </row>
    <row r="28" spans="1:5" ht="15" thickBot="1" x14ac:dyDescent="0.35"/>
    <row r="29" spans="1:5" ht="15" thickBot="1" x14ac:dyDescent="0.35">
      <c r="A29" s="132"/>
      <c r="B29" s="133" t="s">
        <v>333</v>
      </c>
      <c r="C29" s="133" t="s">
        <v>334</v>
      </c>
      <c r="D29" s="133" t="s">
        <v>332</v>
      </c>
      <c r="E29" s="133" t="s">
        <v>335</v>
      </c>
    </row>
    <row r="30" spans="1:5" x14ac:dyDescent="0.3">
      <c r="A30" s="132" t="s">
        <v>610</v>
      </c>
      <c r="B30" s="131">
        <v>18431</v>
      </c>
      <c r="C30" s="131">
        <v>21584</v>
      </c>
      <c r="D30" s="131">
        <v>27919</v>
      </c>
      <c r="E30" s="131">
        <v>25679</v>
      </c>
    </row>
    <row r="31" spans="1:5" x14ac:dyDescent="0.3">
      <c r="A31" s="130" t="s">
        <v>609</v>
      </c>
      <c r="B31" s="129">
        <v>17466</v>
      </c>
      <c r="C31" s="129">
        <v>20694</v>
      </c>
      <c r="D31" s="129">
        <v>26602</v>
      </c>
      <c r="E31" s="129">
        <v>27081</v>
      </c>
    </row>
    <row r="32" spans="1:5" ht="15" thickBot="1" x14ac:dyDescent="0.35">
      <c r="A32" s="128" t="s">
        <v>340</v>
      </c>
      <c r="B32" s="127">
        <v>16889</v>
      </c>
      <c r="C32" s="127">
        <v>21647</v>
      </c>
      <c r="D32" s="127">
        <v>27552</v>
      </c>
      <c r="E32" s="127">
        <v>24359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C1:S25"/>
  <sheetViews>
    <sheetView zoomScale="96" zoomScaleNormal="96" workbookViewId="0">
      <selection activeCell="L4" sqref="L4:L10"/>
    </sheetView>
  </sheetViews>
  <sheetFormatPr defaultRowHeight="14.4" x14ac:dyDescent="0.3"/>
  <cols>
    <col min="9" max="10" width="0" hidden="1" customWidth="1"/>
    <col min="12" max="12" width="30.44140625" customWidth="1"/>
    <col min="13" max="13" width="17" customWidth="1"/>
    <col min="14" max="14" width="17.6640625" customWidth="1"/>
  </cols>
  <sheetData>
    <row r="1" spans="3:19" x14ac:dyDescent="0.3">
      <c r="D1" s="178" t="s">
        <v>770</v>
      </c>
      <c r="I1" s="178"/>
      <c r="L1" s="178" t="s">
        <v>771</v>
      </c>
      <c r="S1" s="182" t="s">
        <v>1148</v>
      </c>
    </row>
    <row r="2" spans="3:19" x14ac:dyDescent="0.3">
      <c r="D2" t="s">
        <v>772</v>
      </c>
    </row>
    <row r="3" spans="3:19" x14ac:dyDescent="0.3">
      <c r="C3" s="56">
        <v>1</v>
      </c>
      <c r="D3">
        <v>1</v>
      </c>
      <c r="F3">
        <v>1</v>
      </c>
    </row>
    <row r="4" spans="3:19" x14ac:dyDescent="0.3">
      <c r="C4" s="56">
        <f>C3*1.1</f>
        <v>1.1000000000000001</v>
      </c>
      <c r="D4">
        <v>1.1000000000000001</v>
      </c>
      <c r="F4">
        <v>1.1000000000000001</v>
      </c>
      <c r="L4" t="s">
        <v>773</v>
      </c>
      <c r="M4" t="s">
        <v>774</v>
      </c>
      <c r="N4" t="s">
        <v>775</v>
      </c>
      <c r="O4" s="182" t="s">
        <v>776</v>
      </c>
    </row>
    <row r="5" spans="3:19" x14ac:dyDescent="0.3">
      <c r="C5" s="56">
        <f t="shared" ref="C5:C19" si="0">C4*1.1</f>
        <v>1.2100000000000002</v>
      </c>
      <c r="D5">
        <v>1.2100000000000002</v>
      </c>
      <c r="F5">
        <v>1.2100000000000002</v>
      </c>
      <c r="I5" s="179"/>
      <c r="J5" s="179"/>
      <c r="L5" t="s">
        <v>777</v>
      </c>
      <c r="M5" t="s">
        <v>195</v>
      </c>
      <c r="O5" s="182"/>
    </row>
    <row r="6" spans="3:19" x14ac:dyDescent="0.3">
      <c r="C6" s="56">
        <f t="shared" si="0"/>
        <v>1.3310000000000004</v>
      </c>
      <c r="D6">
        <v>1.3310000000000004</v>
      </c>
      <c r="F6">
        <v>1.3310000000000004</v>
      </c>
      <c r="I6" s="179"/>
      <c r="J6" s="179"/>
      <c r="L6" t="s">
        <v>778</v>
      </c>
      <c r="M6" t="s">
        <v>779</v>
      </c>
      <c r="O6" s="182"/>
    </row>
    <row r="7" spans="3:19" x14ac:dyDescent="0.3">
      <c r="C7" s="56">
        <f t="shared" si="0"/>
        <v>1.4641000000000006</v>
      </c>
      <c r="D7">
        <v>1.4641000000000006</v>
      </c>
      <c r="F7">
        <v>1.4641000000000004</v>
      </c>
      <c r="I7" s="179"/>
      <c r="J7" s="179"/>
      <c r="L7" t="s">
        <v>780</v>
      </c>
      <c r="M7" t="s">
        <v>643</v>
      </c>
      <c r="O7" s="182"/>
    </row>
    <row r="8" spans="3:19" x14ac:dyDescent="0.3">
      <c r="C8" s="56">
        <f t="shared" si="0"/>
        <v>1.6105100000000008</v>
      </c>
      <c r="D8">
        <v>1.6105100000000008</v>
      </c>
      <c r="F8">
        <v>1.6105100000000006</v>
      </c>
      <c r="I8" s="179"/>
      <c r="J8" s="179"/>
      <c r="L8" t="s">
        <v>781</v>
      </c>
      <c r="M8" t="s">
        <v>416</v>
      </c>
      <c r="O8" s="182"/>
    </row>
    <row r="9" spans="3:19" x14ac:dyDescent="0.3">
      <c r="C9" s="56">
        <f t="shared" si="0"/>
        <v>1.7715610000000011</v>
      </c>
      <c r="D9">
        <v>1.7715610000000011</v>
      </c>
      <c r="F9">
        <v>1.7715610000000008</v>
      </c>
      <c r="I9" s="179"/>
      <c r="J9" s="179"/>
      <c r="L9" t="s">
        <v>782</v>
      </c>
      <c r="M9" t="s">
        <v>266</v>
      </c>
      <c r="O9" s="182"/>
    </row>
    <row r="10" spans="3:19" x14ac:dyDescent="0.3">
      <c r="C10" s="56">
        <f t="shared" si="0"/>
        <v>1.9487171000000014</v>
      </c>
      <c r="D10">
        <v>1.9487171000000014</v>
      </c>
      <c r="F10">
        <v>1.9487171000000012</v>
      </c>
      <c r="L10" t="s">
        <v>783</v>
      </c>
      <c r="M10" t="s">
        <v>660</v>
      </c>
      <c r="O10" s="182"/>
    </row>
    <row r="11" spans="3:19" x14ac:dyDescent="0.3">
      <c r="C11" s="56">
        <f t="shared" si="0"/>
        <v>2.1435888100000016</v>
      </c>
      <c r="D11">
        <v>2.1435888100000016</v>
      </c>
      <c r="F11">
        <v>2.1435888100000011</v>
      </c>
    </row>
    <row r="12" spans="3:19" x14ac:dyDescent="0.3">
      <c r="C12" s="56">
        <f t="shared" si="0"/>
        <v>2.3579476910000019</v>
      </c>
      <c r="D12">
        <v>2.3579476910000019</v>
      </c>
      <c r="F12">
        <v>2.3579476910000015</v>
      </c>
      <c r="L12" t="s">
        <v>784</v>
      </c>
    </row>
    <row r="13" spans="3:19" x14ac:dyDescent="0.3">
      <c r="C13" s="56">
        <f t="shared" si="0"/>
        <v>2.5937424601000023</v>
      </c>
      <c r="D13">
        <v>2.5937424601000023</v>
      </c>
      <c r="F13">
        <v>2.5937424601000019</v>
      </c>
      <c r="L13" t="s">
        <v>785</v>
      </c>
    </row>
    <row r="14" spans="3:19" x14ac:dyDescent="0.3">
      <c r="C14" s="56">
        <f t="shared" si="0"/>
        <v>2.8531167061100029</v>
      </c>
      <c r="D14">
        <v>2.8531167061100029</v>
      </c>
      <c r="F14">
        <v>2.8531167061100025</v>
      </c>
      <c r="L14" t="s">
        <v>786</v>
      </c>
    </row>
    <row r="15" spans="3:19" x14ac:dyDescent="0.3">
      <c r="C15" s="56">
        <f t="shared" si="0"/>
        <v>3.1384283767210035</v>
      </c>
      <c r="D15">
        <v>3.1384283767210035</v>
      </c>
      <c r="F15">
        <v>3.1384283767210026</v>
      </c>
      <c r="L15" t="s">
        <v>787</v>
      </c>
    </row>
    <row r="16" spans="3:19" x14ac:dyDescent="0.3">
      <c r="C16" s="56">
        <f t="shared" si="0"/>
        <v>3.4522712143931042</v>
      </c>
      <c r="D16">
        <v>3.4522712143931042</v>
      </c>
      <c r="F16">
        <v>3.4522712143931029</v>
      </c>
      <c r="L16" t="s">
        <v>788</v>
      </c>
    </row>
    <row r="17" spans="3:15" x14ac:dyDescent="0.3">
      <c r="C17" s="56">
        <f t="shared" si="0"/>
        <v>3.7974983358324148</v>
      </c>
      <c r="D17">
        <v>3.7974983358324148</v>
      </c>
      <c r="F17">
        <v>3.7974983358324139</v>
      </c>
    </row>
    <row r="18" spans="3:15" x14ac:dyDescent="0.3">
      <c r="C18" s="56">
        <f t="shared" si="0"/>
        <v>4.1772481694156562</v>
      </c>
      <c r="D18">
        <v>4.1772481694156562</v>
      </c>
      <c r="F18">
        <v>4.1772481694156554</v>
      </c>
      <c r="L18" s="179" t="s">
        <v>789</v>
      </c>
    </row>
    <row r="19" spans="3:15" x14ac:dyDescent="0.3">
      <c r="C19" s="56">
        <f t="shared" si="0"/>
        <v>4.594972986357222</v>
      </c>
      <c r="D19">
        <v>4.594972986357222</v>
      </c>
      <c r="F19">
        <v>4.5949729863572211</v>
      </c>
      <c r="L19" t="s">
        <v>773</v>
      </c>
      <c r="M19" t="s">
        <v>790</v>
      </c>
      <c r="N19" t="s">
        <v>791</v>
      </c>
      <c r="O19" t="s">
        <v>792</v>
      </c>
    </row>
    <row r="20" spans="3:15" x14ac:dyDescent="0.3">
      <c r="L20" t="s">
        <v>777</v>
      </c>
      <c r="M20" t="s">
        <v>793</v>
      </c>
      <c r="N20" t="s">
        <v>794</v>
      </c>
      <c r="O20" t="s">
        <v>795</v>
      </c>
    </row>
    <row r="21" spans="3:15" x14ac:dyDescent="0.3">
      <c r="D21" t="s">
        <v>796</v>
      </c>
      <c r="L21" t="s">
        <v>778</v>
      </c>
      <c r="M21" t="s">
        <v>797</v>
      </c>
      <c r="N21" t="s">
        <v>798</v>
      </c>
      <c r="O21" t="s">
        <v>799</v>
      </c>
    </row>
    <row r="22" spans="3:15" x14ac:dyDescent="0.3">
      <c r="L22" t="s">
        <v>780</v>
      </c>
      <c r="M22" t="s">
        <v>800</v>
      </c>
      <c r="N22" t="s">
        <v>801</v>
      </c>
      <c r="O22" t="s">
        <v>802</v>
      </c>
    </row>
    <row r="23" spans="3:15" x14ac:dyDescent="0.3">
      <c r="L23" t="s">
        <v>781</v>
      </c>
      <c r="M23" t="s">
        <v>803</v>
      </c>
      <c r="N23" t="s">
        <v>804</v>
      </c>
      <c r="O23" t="s">
        <v>805</v>
      </c>
    </row>
    <row r="24" spans="3:15" x14ac:dyDescent="0.3">
      <c r="L24" t="s">
        <v>782</v>
      </c>
      <c r="M24" t="s">
        <v>806</v>
      </c>
      <c r="N24" t="s">
        <v>807</v>
      </c>
      <c r="O24" t="s">
        <v>808</v>
      </c>
    </row>
    <row r="25" spans="3:15" x14ac:dyDescent="0.3">
      <c r="L25" t="s">
        <v>783</v>
      </c>
      <c r="M25" t="s">
        <v>809</v>
      </c>
      <c r="N25" t="s">
        <v>810</v>
      </c>
      <c r="O25" t="s">
        <v>802</v>
      </c>
    </row>
  </sheetData>
  <hyperlinks>
    <hyperlink ref="O4" r:id="rId1"/>
    <hyperlink ref="S1" location="Obsah!A1" display="Obsah"/>
  </hyperlinks>
  <pageMargins left="0.7" right="0.7" top="0.78740157499999996" bottom="0.78740157499999996" header="0.3" footer="0.3"/>
  <pageSetup paperSize="9" orientation="portrait"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rgb="FF92D050"/>
  </sheetPr>
  <dimension ref="A1:M1"/>
  <sheetViews>
    <sheetView workbookViewId="0">
      <selection activeCell="M1" sqref="M1"/>
    </sheetView>
  </sheetViews>
  <sheetFormatPr defaultRowHeight="14.4" x14ac:dyDescent="0.3"/>
  <sheetData>
    <row r="1" spans="1:13" ht="21" x14ac:dyDescent="0.4">
      <c r="A1" s="38" t="s">
        <v>240</v>
      </c>
      <c r="B1" t="s">
        <v>613</v>
      </c>
      <c r="M1" s="182" t="s">
        <v>1148</v>
      </c>
    </row>
  </sheetData>
  <hyperlinks>
    <hyperlink ref="M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rgb="FF92D050"/>
  </sheetPr>
  <dimension ref="A1:M19"/>
  <sheetViews>
    <sheetView workbookViewId="0">
      <selection activeCell="J48" sqref="J48"/>
    </sheetView>
  </sheetViews>
  <sheetFormatPr defaultRowHeight="14.4" x14ac:dyDescent="0.3"/>
  <cols>
    <col min="1" max="1" width="22.109375" customWidth="1"/>
    <col min="8" max="8" width="17" customWidth="1"/>
    <col min="9" max="9" width="12.44140625" customWidth="1"/>
    <col min="10" max="10" width="14" customWidth="1"/>
    <col min="11" max="11" width="18.6640625" customWidth="1"/>
  </cols>
  <sheetData>
    <row r="1" spans="1:13" ht="29.4" thickBot="1" x14ac:dyDescent="0.35">
      <c r="A1" s="226" t="s">
        <v>1156</v>
      </c>
      <c r="B1" s="226" t="s">
        <v>1151</v>
      </c>
      <c r="C1" s="227" t="s">
        <v>1152</v>
      </c>
      <c r="D1" s="226" t="s">
        <v>1153</v>
      </c>
      <c r="E1" s="226" t="s">
        <v>1154</v>
      </c>
      <c r="F1" s="226" t="s">
        <v>1155</v>
      </c>
      <c r="H1" s="228" t="s">
        <v>1156</v>
      </c>
      <c r="I1" s="232" t="s">
        <v>1165</v>
      </c>
      <c r="J1" s="233" t="s">
        <v>1166</v>
      </c>
      <c r="M1" s="182" t="s">
        <v>1148</v>
      </c>
    </row>
    <row r="2" spans="1:13" x14ac:dyDescent="0.3">
      <c r="A2" s="109" t="s">
        <v>252</v>
      </c>
      <c r="B2" s="56">
        <v>53.636699999999998</v>
      </c>
      <c r="C2" s="56">
        <v>36.464999999999996</v>
      </c>
      <c r="D2" s="56">
        <v>55.360500000000002</v>
      </c>
      <c r="E2" s="56">
        <v>63.824799999999996</v>
      </c>
      <c r="F2" s="56">
        <v>68.311099999999996</v>
      </c>
      <c r="H2" s="234" t="s">
        <v>1151</v>
      </c>
      <c r="I2" s="235">
        <v>75.537800000000004</v>
      </c>
      <c r="J2" s="236">
        <v>75.537800000000004</v>
      </c>
    </row>
    <row r="3" spans="1:13" x14ac:dyDescent="0.3">
      <c r="A3" s="18" t="s">
        <v>1160</v>
      </c>
      <c r="B3" s="20">
        <v>75.537800000000004</v>
      </c>
      <c r="C3" s="20">
        <v>62.542999999999999</v>
      </c>
      <c r="D3" s="20">
        <v>73.1952</v>
      </c>
      <c r="E3" s="20">
        <v>40.332499999999996</v>
      </c>
      <c r="F3" s="20">
        <v>56.752800000000001</v>
      </c>
      <c r="H3" s="237" t="s">
        <v>1168</v>
      </c>
      <c r="I3" s="238">
        <v>62.542999999999999</v>
      </c>
      <c r="J3" s="239">
        <v>62.542999999999999</v>
      </c>
    </row>
    <row r="4" spans="1:13" ht="17.25" customHeight="1" x14ac:dyDescent="0.3">
      <c r="A4" s="18" t="s">
        <v>1161</v>
      </c>
      <c r="B4" s="20">
        <v>38.343500000000006</v>
      </c>
      <c r="C4" s="20">
        <v>40.8187</v>
      </c>
      <c r="D4" s="20">
        <v>37.348999999999997</v>
      </c>
      <c r="E4" s="20">
        <v>41.326999999999998</v>
      </c>
      <c r="F4" s="20">
        <v>63.360700000000001</v>
      </c>
      <c r="H4" s="240" t="s">
        <v>1153</v>
      </c>
      <c r="I4" s="238">
        <v>73.1952</v>
      </c>
      <c r="J4" s="239">
        <v>73.1952</v>
      </c>
    </row>
    <row r="5" spans="1:13" x14ac:dyDescent="0.3">
      <c r="A5" s="18" t="s">
        <v>1162</v>
      </c>
      <c r="B5" s="20">
        <v>68.399500000000003</v>
      </c>
      <c r="C5" s="20">
        <v>58.056699999999999</v>
      </c>
      <c r="D5" s="20">
        <v>52.575899999999997</v>
      </c>
      <c r="E5" s="20">
        <v>44.553600000000003</v>
      </c>
      <c r="F5" s="20">
        <v>56.553899999999999</v>
      </c>
      <c r="H5" s="240" t="s">
        <v>1154</v>
      </c>
      <c r="I5" s="238">
        <v>40.332499999999996</v>
      </c>
      <c r="J5" s="239">
        <v>40.332499999999996</v>
      </c>
    </row>
    <row r="6" spans="1:13" ht="15" thickBot="1" x14ac:dyDescent="0.35">
      <c r="A6" s="18" t="s">
        <v>1163</v>
      </c>
      <c r="B6" s="20">
        <v>63.515399999999993</v>
      </c>
      <c r="C6" s="20">
        <v>46.7194</v>
      </c>
      <c r="D6" s="20">
        <v>55.559400000000004</v>
      </c>
      <c r="E6" s="20">
        <v>41.150199999999998</v>
      </c>
      <c r="F6" s="20">
        <v>65.482299999999995</v>
      </c>
      <c r="H6" s="241" t="s">
        <v>1155</v>
      </c>
      <c r="I6" s="242">
        <v>56.752800000000001</v>
      </c>
      <c r="J6" s="243">
        <v>56.752800000000001</v>
      </c>
    </row>
    <row r="7" spans="1:13" x14ac:dyDescent="0.3">
      <c r="A7" s="18" t="s">
        <v>636</v>
      </c>
      <c r="B7" s="20">
        <v>41.039700000000003</v>
      </c>
      <c r="C7" s="20">
        <v>38.122500000000002</v>
      </c>
      <c r="D7" s="20">
        <v>73.239400000000003</v>
      </c>
      <c r="E7" s="20">
        <v>42.542499999999997</v>
      </c>
      <c r="F7" s="20">
        <v>46.962499999999999</v>
      </c>
    </row>
    <row r="8" spans="1:13" ht="15" thickBot="1" x14ac:dyDescent="0.35">
      <c r="A8" s="244" t="s">
        <v>1164</v>
      </c>
      <c r="B8" s="245">
        <v>61.879999999999995</v>
      </c>
      <c r="C8" s="245">
        <v>66.3</v>
      </c>
      <c r="D8" s="245">
        <v>68.510000000000005</v>
      </c>
      <c r="E8" s="245">
        <v>61.879999999999995</v>
      </c>
      <c r="F8" s="245">
        <v>79.56</v>
      </c>
    </row>
    <row r="9" spans="1:13" ht="15" thickBot="1" x14ac:dyDescent="0.35">
      <c r="A9" s="246" t="s">
        <v>1158</v>
      </c>
      <c r="B9" s="247">
        <v>55.25</v>
      </c>
      <c r="C9" s="247">
        <v>44.2</v>
      </c>
      <c r="D9" s="247">
        <v>41.99</v>
      </c>
      <c r="E9" s="247">
        <v>41.99</v>
      </c>
      <c r="F9" s="247">
        <v>55.25</v>
      </c>
    </row>
    <row r="11" spans="1:13" ht="15" thickBot="1" x14ac:dyDescent="0.35"/>
    <row r="12" spans="1:13" ht="14.25" customHeight="1" thickBot="1" x14ac:dyDescent="0.35">
      <c r="C12" s="226" t="s">
        <v>1156</v>
      </c>
      <c r="D12" s="226" t="s">
        <v>1151</v>
      </c>
      <c r="E12" s="227" t="s">
        <v>1152</v>
      </c>
      <c r="F12" s="226" t="s">
        <v>1153</v>
      </c>
      <c r="G12" s="226" t="s">
        <v>1154</v>
      </c>
      <c r="H12" s="226" t="s">
        <v>1155</v>
      </c>
    </row>
    <row r="13" spans="1:13" ht="15" thickBot="1" x14ac:dyDescent="0.35">
      <c r="C13" s="229" t="s">
        <v>1167</v>
      </c>
      <c r="D13" s="230">
        <v>40.089399999999998</v>
      </c>
      <c r="E13" s="230">
        <v>34.255000000000003</v>
      </c>
      <c r="F13" s="230">
        <v>41.039700000000003</v>
      </c>
      <c r="G13" s="230">
        <v>74.344399999999993</v>
      </c>
      <c r="H13" s="230">
        <v>51.559299999999993</v>
      </c>
    </row>
    <row r="14" spans="1:13" ht="15" thickBot="1" x14ac:dyDescent="0.35"/>
    <row r="15" spans="1:13" ht="29.4" thickBot="1" x14ac:dyDescent="0.35">
      <c r="A15" s="224"/>
      <c r="B15" s="224" t="s">
        <v>1151</v>
      </c>
      <c r="C15" s="225" t="s">
        <v>1152</v>
      </c>
      <c r="D15" s="224" t="s">
        <v>1153</v>
      </c>
      <c r="E15" s="224" t="s">
        <v>1154</v>
      </c>
      <c r="F15" s="224" t="s">
        <v>1155</v>
      </c>
    </row>
    <row r="16" spans="1:13" x14ac:dyDescent="0.3">
      <c r="A16" s="248" t="s">
        <v>1158</v>
      </c>
      <c r="B16" s="56">
        <v>55.25</v>
      </c>
      <c r="C16" s="56">
        <v>44.2</v>
      </c>
      <c r="D16" s="56">
        <v>41.99</v>
      </c>
      <c r="E16" s="56">
        <v>41.99</v>
      </c>
      <c r="F16" s="56">
        <v>55.25</v>
      </c>
    </row>
    <row r="17" spans="1:6" x14ac:dyDescent="0.3">
      <c r="A17" s="249" t="s">
        <v>1157</v>
      </c>
      <c r="B17" s="20">
        <v>44.2</v>
      </c>
      <c r="C17" s="20">
        <v>46.41</v>
      </c>
      <c r="D17" s="20">
        <v>46.41</v>
      </c>
      <c r="E17" s="20">
        <v>55.25</v>
      </c>
      <c r="F17" s="20">
        <v>66.3</v>
      </c>
    </row>
    <row r="18" spans="1:6" ht="15" thickBot="1" x14ac:dyDescent="0.35">
      <c r="A18" s="250" t="s">
        <v>1159</v>
      </c>
      <c r="B18" s="231">
        <v>61.879999999999995</v>
      </c>
      <c r="C18" s="231">
        <v>66.3</v>
      </c>
      <c r="D18" s="231">
        <v>68.510000000000005</v>
      </c>
      <c r="E18" s="231">
        <v>61.879999999999995</v>
      </c>
      <c r="F18" s="231">
        <v>79.56</v>
      </c>
    </row>
    <row r="19" spans="1:6" x14ac:dyDescent="0.3">
      <c r="A19" s="34"/>
    </row>
  </sheetData>
  <hyperlinks>
    <hyperlink ref="M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rgb="FF92D050"/>
  </sheetPr>
  <dimension ref="J1:Q11"/>
  <sheetViews>
    <sheetView workbookViewId="0">
      <selection activeCell="L1" sqref="L1"/>
    </sheetView>
  </sheetViews>
  <sheetFormatPr defaultRowHeight="14.4" x14ac:dyDescent="0.3"/>
  <cols>
    <col min="10" max="10" width="18" customWidth="1"/>
  </cols>
  <sheetData>
    <row r="1" spans="10:17" x14ac:dyDescent="0.3">
      <c r="L1" s="182" t="s">
        <v>1148</v>
      </c>
    </row>
    <row r="6" spans="10:17" x14ac:dyDescent="0.3">
      <c r="J6" s="37" t="s">
        <v>614</v>
      </c>
      <c r="K6" s="37" t="s">
        <v>113</v>
      </c>
      <c r="L6" s="37" t="s">
        <v>114</v>
      </c>
      <c r="M6" s="37" t="s">
        <v>115</v>
      </c>
      <c r="N6" s="37" t="s">
        <v>121</v>
      </c>
      <c r="O6" s="37" t="s">
        <v>122</v>
      </c>
      <c r="P6" s="37" t="s">
        <v>123</v>
      </c>
      <c r="Q6" s="37" t="s">
        <v>133</v>
      </c>
    </row>
    <row r="7" spans="10:17" x14ac:dyDescent="0.3">
      <c r="J7" s="153" t="s">
        <v>2</v>
      </c>
      <c r="K7" s="21">
        <v>253652</v>
      </c>
      <c r="L7" s="21">
        <v>325414</v>
      </c>
      <c r="M7" s="21">
        <v>245741</v>
      </c>
      <c r="N7" s="21">
        <v>214541</v>
      </c>
      <c r="O7" s="21">
        <v>301214</v>
      </c>
      <c r="P7" s="21">
        <v>303145</v>
      </c>
      <c r="Q7" s="43">
        <f>SUM(K7:P7)</f>
        <v>1643707</v>
      </c>
    </row>
    <row r="8" spans="10:17" x14ac:dyDescent="0.3">
      <c r="J8" s="153" t="s">
        <v>3</v>
      </c>
      <c r="K8" s="21">
        <v>150868</v>
      </c>
      <c r="L8" s="21">
        <v>231078</v>
      </c>
      <c r="M8" s="21">
        <v>180699</v>
      </c>
      <c r="N8" s="21">
        <v>147718</v>
      </c>
      <c r="O8" s="21">
        <v>211480</v>
      </c>
      <c r="P8" s="21">
        <v>224858</v>
      </c>
      <c r="Q8" s="43">
        <f>SUM(K8:P8)</f>
        <v>1146701</v>
      </c>
    </row>
    <row r="9" spans="10:17" x14ac:dyDescent="0.3">
      <c r="J9" s="153" t="s">
        <v>674</v>
      </c>
      <c r="K9" s="21">
        <v>6</v>
      </c>
      <c r="L9" s="21">
        <v>5</v>
      </c>
      <c r="M9" s="21">
        <v>4</v>
      </c>
      <c r="N9" s="21">
        <v>5</v>
      </c>
      <c r="O9" s="21">
        <v>5</v>
      </c>
      <c r="P9" s="21">
        <v>6</v>
      </c>
      <c r="Q9" s="43"/>
    </row>
    <row r="10" spans="10:17" x14ac:dyDescent="0.3">
      <c r="J10" s="153" t="s">
        <v>675</v>
      </c>
      <c r="K10" s="21">
        <v>102785</v>
      </c>
      <c r="L10" s="21">
        <v>94336</v>
      </c>
      <c r="M10" s="21">
        <v>65042</v>
      </c>
      <c r="N10" s="21">
        <v>66824</v>
      </c>
      <c r="O10" s="21">
        <v>89734</v>
      </c>
      <c r="P10" s="21">
        <v>78288</v>
      </c>
      <c r="Q10" s="43">
        <f>SUM(K10:P10)</f>
        <v>497009</v>
      </c>
    </row>
    <row r="11" spans="10:17" x14ac:dyDescent="0.3">
      <c r="J11" s="153" t="s">
        <v>676</v>
      </c>
      <c r="K11" s="21">
        <v>17131</v>
      </c>
      <c r="L11" s="21">
        <v>18867</v>
      </c>
      <c r="M11" s="21">
        <v>16261</v>
      </c>
      <c r="N11" s="21">
        <v>13365</v>
      </c>
      <c r="O11" s="21">
        <v>17947</v>
      </c>
      <c r="P11" s="21">
        <v>13048</v>
      </c>
      <c r="Q11" s="21"/>
    </row>
  </sheetData>
  <hyperlinks>
    <hyperlink ref="L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rgb="FF92D050"/>
  </sheetPr>
  <dimension ref="J6:Q11"/>
  <sheetViews>
    <sheetView workbookViewId="0">
      <selection activeCell="L45" sqref="L45"/>
    </sheetView>
  </sheetViews>
  <sheetFormatPr defaultRowHeight="14.4" x14ac:dyDescent="0.3"/>
  <cols>
    <col min="10" max="10" width="18" customWidth="1"/>
  </cols>
  <sheetData>
    <row r="6" spans="10:17" x14ac:dyDescent="0.3">
      <c r="J6" s="37" t="s">
        <v>614</v>
      </c>
      <c r="K6" s="37" t="s">
        <v>113</v>
      </c>
      <c r="L6" s="37" t="s">
        <v>114</v>
      </c>
      <c r="M6" s="37" t="s">
        <v>115</v>
      </c>
      <c r="N6" s="37" t="s">
        <v>121</v>
      </c>
      <c r="O6" s="37" t="s">
        <v>122</v>
      </c>
      <c r="P6" s="37" t="s">
        <v>123</v>
      </c>
      <c r="Q6" s="37" t="s">
        <v>133</v>
      </c>
    </row>
    <row r="7" spans="10:17" x14ac:dyDescent="0.3">
      <c r="J7" s="153" t="s">
        <v>2</v>
      </c>
      <c r="K7" s="21">
        <v>253652</v>
      </c>
      <c r="L7" s="21">
        <v>325414</v>
      </c>
      <c r="M7" s="21">
        <v>245741</v>
      </c>
      <c r="N7" s="21">
        <v>214541</v>
      </c>
      <c r="O7" s="21">
        <v>301214</v>
      </c>
      <c r="P7" s="21">
        <v>303145</v>
      </c>
      <c r="Q7" s="43">
        <f>SUM(K7:P7)</f>
        <v>1643707</v>
      </c>
    </row>
    <row r="8" spans="10:17" x14ac:dyDescent="0.3">
      <c r="J8" s="153" t="s">
        <v>3</v>
      </c>
      <c r="K8" s="21">
        <v>150868</v>
      </c>
      <c r="L8" s="21">
        <v>231078</v>
      </c>
      <c r="M8" s="21">
        <v>180699</v>
      </c>
      <c r="N8" s="21">
        <v>147718</v>
      </c>
      <c r="O8" s="21">
        <v>211480</v>
      </c>
      <c r="P8" s="21">
        <v>224858</v>
      </c>
      <c r="Q8" s="43">
        <f>SUM(K8:P8)</f>
        <v>1146701</v>
      </c>
    </row>
    <row r="9" spans="10:17" x14ac:dyDescent="0.3">
      <c r="J9" s="153" t="s">
        <v>674</v>
      </c>
      <c r="K9" s="21">
        <v>6</v>
      </c>
      <c r="L9" s="21">
        <v>5</v>
      </c>
      <c r="M9" s="21">
        <v>4</v>
      </c>
      <c r="N9" s="21">
        <v>5</v>
      </c>
      <c r="O9" s="21">
        <v>5</v>
      </c>
      <c r="P9" s="21">
        <v>6</v>
      </c>
      <c r="Q9" s="43"/>
    </row>
    <row r="10" spans="10:17" x14ac:dyDescent="0.3">
      <c r="J10" s="153" t="s">
        <v>675</v>
      </c>
      <c r="K10" s="21">
        <v>102785</v>
      </c>
      <c r="L10" s="21">
        <v>94336</v>
      </c>
      <c r="M10" s="21">
        <v>65042</v>
      </c>
      <c r="N10" s="21">
        <v>66824</v>
      </c>
      <c r="O10" s="21">
        <v>89734</v>
      </c>
      <c r="P10" s="21">
        <v>78288</v>
      </c>
      <c r="Q10" s="43">
        <f>SUM(K10:P10)</f>
        <v>497009</v>
      </c>
    </row>
    <row r="11" spans="10:17" x14ac:dyDescent="0.3">
      <c r="J11" s="153" t="s">
        <v>676</v>
      </c>
      <c r="K11" s="21">
        <v>17131</v>
      </c>
      <c r="L11" s="21">
        <v>18867</v>
      </c>
      <c r="M11" s="21">
        <v>16261</v>
      </c>
      <c r="N11" s="21">
        <v>13365</v>
      </c>
      <c r="O11" s="21">
        <v>17947</v>
      </c>
      <c r="P11" s="21">
        <v>13048</v>
      </c>
      <c r="Q11" s="2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rgb="FF92D050"/>
  </sheetPr>
  <dimension ref="A1:N24"/>
  <sheetViews>
    <sheetView workbookViewId="0">
      <selection activeCell="N1" sqref="N1"/>
    </sheetView>
  </sheetViews>
  <sheetFormatPr defaultRowHeight="14.4" x14ac:dyDescent="0.3"/>
  <sheetData>
    <row r="1" spans="1:14" x14ac:dyDescent="0.3">
      <c r="N1" s="182" t="s">
        <v>1148</v>
      </c>
    </row>
    <row r="2" spans="1:14" x14ac:dyDescent="0.3">
      <c r="B2" t="s">
        <v>252</v>
      </c>
      <c r="C2" t="s">
        <v>615</v>
      </c>
      <c r="D2" t="s">
        <v>619</v>
      </c>
    </row>
    <row r="3" spans="1:14" x14ac:dyDescent="0.3">
      <c r="A3" t="s">
        <v>616</v>
      </c>
      <c r="B3">
        <v>25</v>
      </c>
      <c r="C3">
        <v>20</v>
      </c>
      <c r="D3">
        <v>10</v>
      </c>
    </row>
    <row r="4" spans="1:14" x14ac:dyDescent="0.3">
      <c r="A4" t="s">
        <v>617</v>
      </c>
      <c r="B4">
        <v>15</v>
      </c>
      <c r="C4">
        <v>15</v>
      </c>
      <c r="D4">
        <v>15</v>
      </c>
    </row>
    <row r="5" spans="1:14" x14ac:dyDescent="0.3">
      <c r="A5" t="s">
        <v>618</v>
      </c>
      <c r="B5">
        <v>20</v>
      </c>
      <c r="C5">
        <v>25</v>
      </c>
      <c r="D5">
        <v>20</v>
      </c>
    </row>
    <row r="21" spans="1:4" x14ac:dyDescent="0.3">
      <c r="B21" t="s">
        <v>616</v>
      </c>
      <c r="C21" t="s">
        <v>617</v>
      </c>
      <c r="D21" t="s">
        <v>618</v>
      </c>
    </row>
    <row r="22" spans="1:4" x14ac:dyDescent="0.3">
      <c r="A22" t="s">
        <v>252</v>
      </c>
      <c r="B22">
        <v>25</v>
      </c>
      <c r="C22">
        <v>15</v>
      </c>
      <c r="D22">
        <v>20</v>
      </c>
    </row>
    <row r="23" spans="1:4" x14ac:dyDescent="0.3">
      <c r="A23" t="s">
        <v>615</v>
      </c>
      <c r="B23">
        <v>20</v>
      </c>
      <c r="C23">
        <v>15</v>
      </c>
      <c r="D23">
        <v>25</v>
      </c>
    </row>
    <row r="24" spans="1:4" x14ac:dyDescent="0.3">
      <c r="A24" t="s">
        <v>619</v>
      </c>
      <c r="B24">
        <v>10</v>
      </c>
      <c r="C24">
        <v>15</v>
      </c>
      <c r="D24">
        <v>20</v>
      </c>
    </row>
  </sheetData>
  <hyperlinks>
    <hyperlink ref="N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rgb="FFFF6600"/>
  </sheetPr>
  <dimension ref="A1:O1"/>
  <sheetViews>
    <sheetView topLeftCell="A19" workbookViewId="0">
      <selection activeCell="O1" sqref="O1"/>
    </sheetView>
  </sheetViews>
  <sheetFormatPr defaultRowHeight="14.4" x14ac:dyDescent="0.3"/>
  <sheetData>
    <row r="1" spans="1:15" ht="21" x14ac:dyDescent="0.4">
      <c r="A1" s="38" t="s">
        <v>241</v>
      </c>
      <c r="O1" s="182" t="s">
        <v>1148</v>
      </c>
    </row>
  </sheetData>
  <hyperlinks>
    <hyperlink ref="O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rgb="FFFFFF00"/>
  </sheetPr>
  <dimension ref="A1:N16"/>
  <sheetViews>
    <sheetView workbookViewId="0">
      <selection activeCell="M1" sqref="M1"/>
    </sheetView>
  </sheetViews>
  <sheetFormatPr defaultRowHeight="14.4" x14ac:dyDescent="0.3"/>
  <cols>
    <col min="2" max="2" width="15.33203125" customWidth="1"/>
    <col min="3" max="3" width="20" customWidth="1"/>
    <col min="4" max="5" width="15.5546875" customWidth="1"/>
    <col min="6" max="6" width="16.5546875" customWidth="1"/>
    <col min="14" max="14" width="10.44140625" hidden="1" customWidth="1"/>
  </cols>
  <sheetData>
    <row r="1" spans="1:14" ht="21" x14ac:dyDescent="0.4">
      <c r="A1" s="38" t="s">
        <v>242</v>
      </c>
      <c r="M1" s="182" t="s">
        <v>1148</v>
      </c>
    </row>
    <row r="3" spans="1:14" s="34" customFormat="1" ht="21" customHeight="1" x14ac:dyDescent="0.3">
      <c r="A3" s="145" t="s">
        <v>243</v>
      </c>
      <c r="B3" s="145" t="s">
        <v>244</v>
      </c>
      <c r="C3" s="145" t="s">
        <v>178</v>
      </c>
      <c r="D3" s="145" t="s">
        <v>245</v>
      </c>
      <c r="E3" s="145" t="s">
        <v>246</v>
      </c>
      <c r="F3" s="147" t="s">
        <v>1</v>
      </c>
      <c r="G3" s="147" t="s">
        <v>247</v>
      </c>
      <c r="H3" s="147" t="s">
        <v>248</v>
      </c>
      <c r="I3" s="145" t="s">
        <v>249</v>
      </c>
      <c r="J3" s="147" t="s">
        <v>250</v>
      </c>
      <c r="K3" s="147" t="s">
        <v>282</v>
      </c>
      <c r="L3" s="147" t="s">
        <v>251</v>
      </c>
    </row>
    <row r="4" spans="1:14" x14ac:dyDescent="0.3">
      <c r="A4" s="46">
        <v>0</v>
      </c>
      <c r="B4" s="148" t="s">
        <v>263</v>
      </c>
      <c r="C4" s="148" t="s">
        <v>275</v>
      </c>
      <c r="D4" s="148" t="s">
        <v>622</v>
      </c>
      <c r="E4" s="46">
        <v>101</v>
      </c>
      <c r="F4" s="149">
        <v>28160</v>
      </c>
      <c r="G4" s="21">
        <v>179</v>
      </c>
      <c r="H4" s="21">
        <v>78</v>
      </c>
      <c r="I4" s="46">
        <v>1</v>
      </c>
      <c r="J4" s="150">
        <v>36</v>
      </c>
      <c r="K4" s="150">
        <v>1.4</v>
      </c>
      <c r="L4" s="150">
        <v>54.2</v>
      </c>
      <c r="N4" t="s">
        <v>277</v>
      </c>
    </row>
    <row r="5" spans="1:14" x14ac:dyDescent="0.3">
      <c r="A5" s="46">
        <v>0</v>
      </c>
      <c r="B5" s="148" t="s">
        <v>256</v>
      </c>
      <c r="C5" s="148" t="s">
        <v>268</v>
      </c>
      <c r="D5" s="148" t="s">
        <v>281</v>
      </c>
      <c r="E5" s="46">
        <v>311</v>
      </c>
      <c r="F5" s="149">
        <v>28697</v>
      </c>
      <c r="G5" s="21">
        <v>182</v>
      </c>
      <c r="H5" s="21">
        <v>54</v>
      </c>
      <c r="I5" s="46">
        <v>1</v>
      </c>
      <c r="J5" s="150">
        <v>64</v>
      </c>
      <c r="K5" s="150">
        <v>1.1000000000000001</v>
      </c>
      <c r="L5" s="150">
        <v>83.2</v>
      </c>
      <c r="N5" t="s">
        <v>281</v>
      </c>
    </row>
    <row r="6" spans="1:14" x14ac:dyDescent="0.3">
      <c r="A6" s="46">
        <v>0</v>
      </c>
      <c r="B6" s="148" t="s">
        <v>186</v>
      </c>
      <c r="C6" s="148" t="s">
        <v>267</v>
      </c>
      <c r="D6" s="148" t="s">
        <v>280</v>
      </c>
      <c r="E6" s="46">
        <v>111</v>
      </c>
      <c r="F6" s="149">
        <v>28382</v>
      </c>
      <c r="G6" s="21">
        <v>174</v>
      </c>
      <c r="H6" s="21">
        <v>65</v>
      </c>
      <c r="I6" s="46">
        <v>1</v>
      </c>
      <c r="J6" s="150">
        <v>52</v>
      </c>
      <c r="K6" s="150">
        <v>1.4</v>
      </c>
      <c r="L6" s="150">
        <v>73.7</v>
      </c>
      <c r="N6" t="s">
        <v>280</v>
      </c>
    </row>
    <row r="7" spans="1:14" x14ac:dyDescent="0.3">
      <c r="A7" s="46">
        <v>0</v>
      </c>
      <c r="B7" s="148" t="s">
        <v>255</v>
      </c>
      <c r="C7" s="148" t="s">
        <v>265</v>
      </c>
      <c r="D7" s="148" t="s">
        <v>278</v>
      </c>
      <c r="E7" s="46">
        <v>211</v>
      </c>
      <c r="F7" s="149">
        <v>28527</v>
      </c>
      <c r="G7" s="21">
        <v>175</v>
      </c>
      <c r="H7" s="21">
        <v>86</v>
      </c>
      <c r="I7" s="46">
        <v>0</v>
      </c>
      <c r="J7" s="150">
        <v>31</v>
      </c>
      <c r="K7" s="150">
        <v>1.5</v>
      </c>
      <c r="L7" s="150">
        <v>40.299999999999997</v>
      </c>
      <c r="N7" t="s">
        <v>279</v>
      </c>
    </row>
    <row r="8" spans="1:14" x14ac:dyDescent="0.3">
      <c r="A8" s="46">
        <v>1</v>
      </c>
      <c r="B8" s="148" t="s">
        <v>260</v>
      </c>
      <c r="C8" s="148" t="s">
        <v>272</v>
      </c>
      <c r="D8" s="148" t="s">
        <v>278</v>
      </c>
      <c r="E8" s="46">
        <v>311</v>
      </c>
      <c r="F8" s="149">
        <v>28197</v>
      </c>
      <c r="G8" s="21">
        <v>182</v>
      </c>
      <c r="H8" s="21">
        <v>55</v>
      </c>
      <c r="I8" s="46">
        <v>1</v>
      </c>
      <c r="J8" s="150">
        <v>36</v>
      </c>
      <c r="K8" s="150">
        <v>1.5</v>
      </c>
      <c r="L8" s="150">
        <v>61.6</v>
      </c>
      <c r="N8" t="s">
        <v>278</v>
      </c>
    </row>
    <row r="9" spans="1:14" x14ac:dyDescent="0.3">
      <c r="A9" s="46">
        <v>1</v>
      </c>
      <c r="B9" s="148" t="s">
        <v>254</v>
      </c>
      <c r="C9" s="148" t="s">
        <v>266</v>
      </c>
      <c r="D9" s="148" t="s">
        <v>279</v>
      </c>
      <c r="E9" s="46">
        <v>111</v>
      </c>
      <c r="F9" s="149">
        <v>28564</v>
      </c>
      <c r="G9" s="21">
        <v>182</v>
      </c>
      <c r="H9" s="21">
        <v>76</v>
      </c>
      <c r="I9" s="46">
        <v>0</v>
      </c>
      <c r="J9" s="150">
        <v>22</v>
      </c>
      <c r="K9" s="150">
        <v>1.2</v>
      </c>
      <c r="L9" s="150">
        <v>72.8</v>
      </c>
      <c r="N9" t="s">
        <v>276</v>
      </c>
    </row>
    <row r="10" spans="1:14" x14ac:dyDescent="0.3">
      <c r="A10" s="46">
        <v>0</v>
      </c>
      <c r="B10" s="148" t="s">
        <v>259</v>
      </c>
      <c r="C10" s="148" t="s">
        <v>271</v>
      </c>
      <c r="D10" s="148" t="s">
        <v>279</v>
      </c>
      <c r="E10" s="46">
        <v>211</v>
      </c>
      <c r="F10" s="149">
        <v>28725</v>
      </c>
      <c r="G10" s="21">
        <v>175</v>
      </c>
      <c r="H10" s="21">
        <v>56</v>
      </c>
      <c r="I10" s="46">
        <v>0</v>
      </c>
      <c r="J10" s="150">
        <v>66</v>
      </c>
      <c r="K10" s="150">
        <v>1.4</v>
      </c>
      <c r="L10" s="150">
        <v>46.9</v>
      </c>
      <c r="N10" t="s">
        <v>622</v>
      </c>
    </row>
    <row r="11" spans="1:14" x14ac:dyDescent="0.3">
      <c r="A11" s="46">
        <v>0</v>
      </c>
      <c r="B11" s="148" t="s">
        <v>253</v>
      </c>
      <c r="C11" s="148" t="s">
        <v>264</v>
      </c>
      <c r="D11" s="148" t="s">
        <v>277</v>
      </c>
      <c r="E11" s="46">
        <v>201</v>
      </c>
      <c r="F11" s="149">
        <v>26912</v>
      </c>
      <c r="G11" s="21">
        <v>180</v>
      </c>
      <c r="H11" s="21">
        <v>78</v>
      </c>
      <c r="I11" s="46">
        <v>1</v>
      </c>
      <c r="J11" s="150">
        <v>45</v>
      </c>
      <c r="K11" s="150">
        <v>1.4</v>
      </c>
      <c r="L11" s="150">
        <v>67.5</v>
      </c>
    </row>
    <row r="12" spans="1:14" x14ac:dyDescent="0.3">
      <c r="A12" s="46">
        <v>0</v>
      </c>
      <c r="B12" s="148" t="s">
        <v>258</v>
      </c>
      <c r="C12" s="148" t="s">
        <v>270</v>
      </c>
      <c r="D12" s="148" t="s">
        <v>277</v>
      </c>
      <c r="E12" s="46">
        <v>211</v>
      </c>
      <c r="F12" s="149">
        <v>28622</v>
      </c>
      <c r="G12" s="21">
        <v>176</v>
      </c>
      <c r="H12" s="21">
        <v>68</v>
      </c>
      <c r="I12" s="46">
        <v>0</v>
      </c>
      <c r="J12" s="150">
        <v>75</v>
      </c>
      <c r="K12" s="150">
        <v>1.3</v>
      </c>
      <c r="L12" s="150">
        <v>79.2</v>
      </c>
    </row>
    <row r="13" spans="1:14" x14ac:dyDescent="0.3">
      <c r="A13" s="46">
        <v>0</v>
      </c>
      <c r="B13" s="148" t="s">
        <v>261</v>
      </c>
      <c r="C13" s="148" t="s">
        <v>273</v>
      </c>
      <c r="D13" s="148" t="s">
        <v>277</v>
      </c>
      <c r="E13" s="46">
        <v>111</v>
      </c>
      <c r="F13" s="149">
        <v>28624</v>
      </c>
      <c r="G13" s="21">
        <v>185</v>
      </c>
      <c r="H13" s="21">
        <v>76</v>
      </c>
      <c r="I13" s="46">
        <v>1</v>
      </c>
      <c r="J13" s="150">
        <v>44</v>
      </c>
      <c r="K13" s="150">
        <v>1.5</v>
      </c>
      <c r="L13" s="150">
        <v>46.4</v>
      </c>
    </row>
    <row r="14" spans="1:14" x14ac:dyDescent="0.3">
      <c r="A14" s="46">
        <v>1</v>
      </c>
      <c r="B14" s="148" t="s">
        <v>252</v>
      </c>
      <c r="C14" s="148" t="s">
        <v>195</v>
      </c>
      <c r="D14" s="148" t="s">
        <v>276</v>
      </c>
      <c r="E14" s="46">
        <v>111</v>
      </c>
      <c r="F14" s="149">
        <v>26879</v>
      </c>
      <c r="G14" s="21">
        <v>185</v>
      </c>
      <c r="H14" s="21">
        <v>75</v>
      </c>
      <c r="I14" s="46">
        <v>0</v>
      </c>
      <c r="J14" s="150">
        <v>36</v>
      </c>
      <c r="K14" s="150">
        <v>1.2</v>
      </c>
      <c r="L14" s="150">
        <v>43.2</v>
      </c>
    </row>
    <row r="15" spans="1:14" x14ac:dyDescent="0.3">
      <c r="A15" s="46">
        <v>1</v>
      </c>
      <c r="B15" s="148" t="s">
        <v>257</v>
      </c>
      <c r="C15" s="148" t="s">
        <v>269</v>
      </c>
      <c r="D15" s="148" t="s">
        <v>276</v>
      </c>
      <c r="E15" s="46">
        <v>201</v>
      </c>
      <c r="F15" s="149">
        <v>28397</v>
      </c>
      <c r="G15" s="21">
        <v>180</v>
      </c>
      <c r="H15" s="21">
        <v>78</v>
      </c>
      <c r="I15" s="46">
        <v>0</v>
      </c>
      <c r="J15" s="150">
        <v>36</v>
      </c>
      <c r="K15" s="150">
        <v>1.6</v>
      </c>
      <c r="L15" s="150">
        <v>105</v>
      </c>
    </row>
    <row r="16" spans="1:14" x14ac:dyDescent="0.3">
      <c r="A16" s="46">
        <v>0</v>
      </c>
      <c r="B16" s="148" t="s">
        <v>262</v>
      </c>
      <c r="C16" s="148" t="s">
        <v>274</v>
      </c>
      <c r="D16" s="148" t="s">
        <v>276</v>
      </c>
      <c r="E16" s="46">
        <v>111</v>
      </c>
      <c r="F16" s="149">
        <v>29103</v>
      </c>
      <c r="G16" s="21">
        <v>180</v>
      </c>
      <c r="H16" s="21">
        <v>80</v>
      </c>
      <c r="I16" s="46">
        <v>0</v>
      </c>
      <c r="J16" s="150">
        <v>29</v>
      </c>
      <c r="K16" s="150">
        <v>1.3</v>
      </c>
      <c r="L16" s="150">
        <v>54</v>
      </c>
    </row>
  </sheetData>
  <sortState ref="A4:L16">
    <sortCondition descending="1" ref="D4:D16" customList="Praha,Brno,Ostrava,Plzeň,Liberec,Kroměříž,Boskovice"/>
  </sortState>
  <dataValidations xWindow="704" yWindow="338" count="4">
    <dataValidation type="whole" allowBlank="1" showInputMessage="1" showErrorMessage="1" sqref="H4:H16">
      <formula1>50</formula1>
      <formula2>100</formula2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4:G16">
      <formula1>150</formula1>
      <formula2>190</formula2>
    </dataValidation>
    <dataValidation type="list" allowBlank="1" showInputMessage="1" showErrorMessage="1" sqref="D4:D16">
      <formula1>$N$4:$N$10</formula1>
    </dataValidation>
    <dataValidation type="list" allowBlank="1" showInputMessage="1" showErrorMessage="1" sqref="E4:E16">
      <formula1>"101,111,201,211,311"</formula1>
    </dataValidation>
  </dataValidations>
  <hyperlinks>
    <hyperlink ref="M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tabColor rgb="FF92D050"/>
  </sheetPr>
  <dimension ref="A1:M63"/>
  <sheetViews>
    <sheetView topLeftCell="A19" workbookViewId="0">
      <selection activeCell="M1" sqref="M1"/>
    </sheetView>
  </sheetViews>
  <sheetFormatPr defaultRowHeight="14.4" x14ac:dyDescent="0.3"/>
  <cols>
    <col min="5" max="5" width="12.109375" customWidth="1"/>
    <col min="6" max="6" width="16.33203125" customWidth="1"/>
    <col min="7" max="7" width="9.6640625" customWidth="1"/>
  </cols>
  <sheetData>
    <row r="1" spans="1:13" ht="21" x14ac:dyDescent="0.4">
      <c r="A1" s="38" t="s">
        <v>283</v>
      </c>
      <c r="M1" s="182" t="s">
        <v>1148</v>
      </c>
    </row>
    <row r="2" spans="1:13" x14ac:dyDescent="0.3">
      <c r="A2" t="s">
        <v>623</v>
      </c>
    </row>
    <row r="3" spans="1:13" ht="15" thickBot="1" x14ac:dyDescent="0.35">
      <c r="A3" s="58" t="s">
        <v>243</v>
      </c>
      <c r="B3" s="58" t="s">
        <v>178</v>
      </c>
      <c r="C3" s="58" t="s">
        <v>244</v>
      </c>
      <c r="D3" s="58" t="s">
        <v>245</v>
      </c>
      <c r="E3" s="58" t="s">
        <v>246</v>
      </c>
      <c r="F3" s="58" t="s">
        <v>1</v>
      </c>
      <c r="G3" s="58" t="s">
        <v>247</v>
      </c>
      <c r="H3" s="58" t="s">
        <v>248</v>
      </c>
      <c r="I3" s="58" t="s">
        <v>249</v>
      </c>
      <c r="J3" s="58" t="s">
        <v>250</v>
      </c>
      <c r="K3" s="58" t="s">
        <v>282</v>
      </c>
      <c r="L3" s="58" t="s">
        <v>251</v>
      </c>
    </row>
    <row r="4" spans="1:13" x14ac:dyDescent="0.3">
      <c r="A4">
        <v>0</v>
      </c>
      <c r="B4" t="s">
        <v>255</v>
      </c>
      <c r="C4" t="s">
        <v>265</v>
      </c>
      <c r="D4" t="s">
        <v>278</v>
      </c>
      <c r="E4" s="203">
        <v>211</v>
      </c>
      <c r="F4" s="28">
        <v>28527</v>
      </c>
      <c r="G4">
        <v>175</v>
      </c>
      <c r="H4">
        <v>86</v>
      </c>
      <c r="I4">
        <v>0</v>
      </c>
      <c r="J4">
        <v>31</v>
      </c>
      <c r="K4">
        <v>1.5</v>
      </c>
      <c r="L4">
        <v>40.299999999999997</v>
      </c>
    </row>
    <row r="5" spans="1:13" x14ac:dyDescent="0.3">
      <c r="A5">
        <v>0</v>
      </c>
      <c r="B5" t="s">
        <v>253</v>
      </c>
      <c r="C5" t="s">
        <v>264</v>
      </c>
      <c r="D5" t="s">
        <v>277</v>
      </c>
      <c r="E5" s="203">
        <v>201</v>
      </c>
      <c r="F5" s="28">
        <v>26912</v>
      </c>
      <c r="G5">
        <v>180</v>
      </c>
      <c r="H5">
        <v>78</v>
      </c>
      <c r="I5">
        <v>1</v>
      </c>
      <c r="J5">
        <v>45</v>
      </c>
      <c r="K5">
        <v>1.4</v>
      </c>
      <c r="L5">
        <v>67.5</v>
      </c>
    </row>
    <row r="6" spans="1:13" x14ac:dyDescent="0.3">
      <c r="A6">
        <v>1</v>
      </c>
      <c r="B6" t="s">
        <v>260</v>
      </c>
      <c r="C6" t="s">
        <v>272</v>
      </c>
      <c r="D6" t="s">
        <v>278</v>
      </c>
      <c r="E6" s="203">
        <v>311</v>
      </c>
      <c r="F6" s="28">
        <v>28197</v>
      </c>
      <c r="G6">
        <v>182</v>
      </c>
      <c r="H6">
        <v>55</v>
      </c>
      <c r="I6">
        <v>1</v>
      </c>
      <c r="J6">
        <v>36</v>
      </c>
      <c r="K6">
        <v>1.5</v>
      </c>
      <c r="L6">
        <v>61.6</v>
      </c>
    </row>
    <row r="7" spans="1:13" x14ac:dyDescent="0.3">
      <c r="A7">
        <v>1</v>
      </c>
      <c r="B7" t="s">
        <v>252</v>
      </c>
      <c r="C7" t="s">
        <v>195</v>
      </c>
      <c r="D7" t="s">
        <v>276</v>
      </c>
      <c r="E7" s="203">
        <v>111</v>
      </c>
      <c r="F7" s="28">
        <v>26879</v>
      </c>
      <c r="G7">
        <v>185</v>
      </c>
      <c r="H7">
        <v>75</v>
      </c>
      <c r="I7">
        <v>0</v>
      </c>
      <c r="J7">
        <v>36</v>
      </c>
      <c r="K7">
        <v>1.2</v>
      </c>
      <c r="L7">
        <v>43.2</v>
      </c>
    </row>
    <row r="8" spans="1:13" x14ac:dyDescent="0.3">
      <c r="A8">
        <v>0</v>
      </c>
      <c r="B8" t="s">
        <v>259</v>
      </c>
      <c r="C8" t="s">
        <v>271</v>
      </c>
      <c r="D8" t="s">
        <v>279</v>
      </c>
      <c r="E8" s="203">
        <v>211</v>
      </c>
      <c r="F8" s="28">
        <v>28725</v>
      </c>
      <c r="G8">
        <v>175</v>
      </c>
      <c r="H8">
        <v>56</v>
      </c>
      <c r="I8">
        <v>0</v>
      </c>
      <c r="J8">
        <v>66</v>
      </c>
      <c r="K8">
        <v>1.4</v>
      </c>
      <c r="L8">
        <v>46.9</v>
      </c>
    </row>
    <row r="9" spans="1:13" x14ac:dyDescent="0.3">
      <c r="A9">
        <v>1</v>
      </c>
      <c r="B9" t="s">
        <v>254</v>
      </c>
      <c r="C9" t="s">
        <v>266</v>
      </c>
      <c r="D9" t="s">
        <v>279</v>
      </c>
      <c r="E9" s="203">
        <v>111</v>
      </c>
      <c r="F9" s="28">
        <v>28564</v>
      </c>
      <c r="G9">
        <v>182</v>
      </c>
      <c r="H9">
        <v>76</v>
      </c>
      <c r="I9">
        <v>0</v>
      </c>
      <c r="J9">
        <v>22</v>
      </c>
      <c r="K9">
        <v>1.2</v>
      </c>
      <c r="L9">
        <v>72.8</v>
      </c>
    </row>
    <row r="10" spans="1:13" x14ac:dyDescent="0.3">
      <c r="A10">
        <v>0</v>
      </c>
      <c r="B10" t="s">
        <v>262</v>
      </c>
      <c r="C10" t="s">
        <v>274</v>
      </c>
      <c r="D10" t="s">
        <v>276</v>
      </c>
      <c r="E10" s="203">
        <v>111</v>
      </c>
      <c r="F10" s="28">
        <v>29103</v>
      </c>
      <c r="G10">
        <v>180</v>
      </c>
      <c r="H10">
        <v>80</v>
      </c>
      <c r="I10">
        <v>0</v>
      </c>
      <c r="J10">
        <v>29</v>
      </c>
      <c r="K10">
        <v>1.3</v>
      </c>
      <c r="L10">
        <v>54</v>
      </c>
    </row>
    <row r="11" spans="1:13" x14ac:dyDescent="0.3">
      <c r="A11">
        <v>0</v>
      </c>
      <c r="B11" t="s">
        <v>256</v>
      </c>
      <c r="C11" t="s">
        <v>268</v>
      </c>
      <c r="D11" t="s">
        <v>281</v>
      </c>
      <c r="E11" s="203">
        <v>311</v>
      </c>
      <c r="F11" s="28">
        <v>28697</v>
      </c>
      <c r="G11">
        <v>182</v>
      </c>
      <c r="H11">
        <v>54</v>
      </c>
      <c r="I11">
        <v>1</v>
      </c>
      <c r="J11">
        <v>64</v>
      </c>
      <c r="K11">
        <v>1.1000000000000001</v>
      </c>
      <c r="L11">
        <v>83.2</v>
      </c>
    </row>
    <row r="12" spans="1:13" x14ac:dyDescent="0.3">
      <c r="A12">
        <v>0</v>
      </c>
      <c r="B12" t="s">
        <v>261</v>
      </c>
      <c r="C12" t="s">
        <v>273</v>
      </c>
      <c r="D12" t="s">
        <v>277</v>
      </c>
      <c r="E12" s="203">
        <v>111</v>
      </c>
      <c r="F12" s="28">
        <v>28624</v>
      </c>
      <c r="G12">
        <v>185</v>
      </c>
      <c r="H12">
        <v>76</v>
      </c>
      <c r="I12">
        <v>1</v>
      </c>
      <c r="J12">
        <v>44</v>
      </c>
      <c r="K12">
        <v>1.5</v>
      </c>
      <c r="L12">
        <v>46.4</v>
      </c>
    </row>
    <row r="13" spans="1:13" x14ac:dyDescent="0.3">
      <c r="A13">
        <v>0</v>
      </c>
      <c r="B13" t="s">
        <v>186</v>
      </c>
      <c r="C13" t="s">
        <v>267</v>
      </c>
      <c r="D13" t="s">
        <v>280</v>
      </c>
      <c r="E13" s="203">
        <v>111</v>
      </c>
      <c r="F13" s="28">
        <v>28382</v>
      </c>
      <c r="G13">
        <v>174</v>
      </c>
      <c r="H13">
        <v>65</v>
      </c>
      <c r="I13">
        <v>1</v>
      </c>
      <c r="J13">
        <v>52</v>
      </c>
      <c r="K13">
        <v>1.4</v>
      </c>
      <c r="L13">
        <v>73.7</v>
      </c>
    </row>
    <row r="14" spans="1:13" x14ac:dyDescent="0.3">
      <c r="A14">
        <v>0</v>
      </c>
      <c r="B14" t="s">
        <v>258</v>
      </c>
      <c r="C14" t="s">
        <v>270</v>
      </c>
      <c r="D14" t="s">
        <v>277</v>
      </c>
      <c r="E14" s="203">
        <v>211</v>
      </c>
      <c r="F14" s="28">
        <v>28622</v>
      </c>
      <c r="G14">
        <v>176</v>
      </c>
      <c r="H14">
        <v>68</v>
      </c>
      <c r="I14">
        <v>0</v>
      </c>
      <c r="J14">
        <v>75</v>
      </c>
      <c r="K14">
        <v>1.3</v>
      </c>
      <c r="L14">
        <v>79.2</v>
      </c>
    </row>
    <row r="15" spans="1:13" x14ac:dyDescent="0.3">
      <c r="A15">
        <v>1</v>
      </c>
      <c r="B15" t="s">
        <v>257</v>
      </c>
      <c r="C15" t="s">
        <v>269</v>
      </c>
      <c r="D15" t="s">
        <v>276</v>
      </c>
      <c r="E15" s="203">
        <v>201</v>
      </c>
      <c r="F15" s="28">
        <v>28397</v>
      </c>
      <c r="G15">
        <v>180</v>
      </c>
      <c r="H15">
        <v>78</v>
      </c>
      <c r="I15">
        <v>0</v>
      </c>
      <c r="J15">
        <v>36</v>
      </c>
      <c r="K15">
        <v>1.6</v>
      </c>
      <c r="L15">
        <v>105</v>
      </c>
    </row>
    <row r="16" spans="1:13" x14ac:dyDescent="0.3">
      <c r="A16">
        <v>0</v>
      </c>
      <c r="B16" t="s">
        <v>263</v>
      </c>
      <c r="C16" t="s">
        <v>275</v>
      </c>
      <c r="D16" t="s">
        <v>277</v>
      </c>
      <c r="E16" s="203">
        <v>101</v>
      </c>
      <c r="F16" s="28">
        <v>28160</v>
      </c>
      <c r="G16">
        <v>179</v>
      </c>
      <c r="H16">
        <v>78</v>
      </c>
      <c r="I16">
        <v>1</v>
      </c>
      <c r="J16">
        <v>36</v>
      </c>
      <c r="K16">
        <v>1.4</v>
      </c>
      <c r="L16">
        <v>54.2</v>
      </c>
    </row>
    <row r="18" spans="1:12" x14ac:dyDescent="0.3">
      <c r="A18" t="s">
        <v>624</v>
      </c>
    </row>
    <row r="19" spans="1:12" ht="15" thickBot="1" x14ac:dyDescent="0.35">
      <c r="A19" s="58" t="s">
        <v>243</v>
      </c>
      <c r="B19" s="58" t="s">
        <v>178</v>
      </c>
      <c r="C19" s="58" t="s">
        <v>244</v>
      </c>
      <c r="D19" s="58" t="s">
        <v>245</v>
      </c>
      <c r="E19" s="58" t="s">
        <v>246</v>
      </c>
      <c r="F19" s="58" t="s">
        <v>1</v>
      </c>
      <c r="G19" s="58" t="s">
        <v>247</v>
      </c>
      <c r="H19" s="58" t="s">
        <v>248</v>
      </c>
      <c r="I19" s="58" t="s">
        <v>249</v>
      </c>
      <c r="J19" s="58" t="s">
        <v>250</v>
      </c>
      <c r="K19" s="58" t="s">
        <v>282</v>
      </c>
      <c r="L19" s="58" t="s">
        <v>251</v>
      </c>
    </row>
    <row r="20" spans="1:12" x14ac:dyDescent="0.3">
      <c r="A20">
        <v>0</v>
      </c>
      <c r="B20" t="s">
        <v>255</v>
      </c>
      <c r="C20" t="s">
        <v>265</v>
      </c>
      <c r="D20" t="s">
        <v>278</v>
      </c>
      <c r="E20" s="203">
        <v>211</v>
      </c>
      <c r="F20" s="28">
        <v>28527</v>
      </c>
      <c r="G20">
        <v>175</v>
      </c>
      <c r="H20">
        <v>86</v>
      </c>
      <c r="I20">
        <v>0</v>
      </c>
      <c r="J20">
        <v>31</v>
      </c>
      <c r="K20">
        <v>1.5</v>
      </c>
      <c r="L20">
        <v>40.299999999999997</v>
      </c>
    </row>
    <row r="21" spans="1:12" x14ac:dyDescent="0.3">
      <c r="A21">
        <v>0</v>
      </c>
      <c r="B21" t="s">
        <v>253</v>
      </c>
      <c r="C21" t="s">
        <v>264</v>
      </c>
      <c r="D21" t="s">
        <v>277</v>
      </c>
      <c r="E21" s="203">
        <v>201</v>
      </c>
      <c r="F21" s="28">
        <v>26912</v>
      </c>
      <c r="G21">
        <v>180</v>
      </c>
      <c r="H21">
        <v>78</v>
      </c>
      <c r="I21">
        <v>1</v>
      </c>
      <c r="J21">
        <v>45</v>
      </c>
      <c r="K21">
        <v>1.4</v>
      </c>
      <c r="L21">
        <v>67.5</v>
      </c>
    </row>
    <row r="22" spans="1:12" x14ac:dyDescent="0.3">
      <c r="A22">
        <v>1</v>
      </c>
      <c r="B22" t="s">
        <v>260</v>
      </c>
      <c r="C22" t="s">
        <v>272</v>
      </c>
      <c r="D22" t="s">
        <v>278</v>
      </c>
      <c r="E22" s="203">
        <v>311</v>
      </c>
      <c r="F22" s="28">
        <v>28197</v>
      </c>
      <c r="G22">
        <v>182</v>
      </c>
      <c r="H22">
        <v>55</v>
      </c>
      <c r="I22">
        <v>1</v>
      </c>
      <c r="J22">
        <v>36</v>
      </c>
      <c r="K22">
        <v>1.5</v>
      </c>
      <c r="L22">
        <v>61.6</v>
      </c>
    </row>
    <row r="23" spans="1:12" x14ac:dyDescent="0.3">
      <c r="A23">
        <v>1</v>
      </c>
      <c r="B23" t="s">
        <v>252</v>
      </c>
      <c r="C23" t="s">
        <v>195</v>
      </c>
      <c r="D23" t="s">
        <v>276</v>
      </c>
      <c r="E23" s="203">
        <v>111</v>
      </c>
      <c r="F23" s="28">
        <v>26879</v>
      </c>
      <c r="G23">
        <v>185</v>
      </c>
      <c r="H23">
        <v>75</v>
      </c>
      <c r="I23">
        <v>0</v>
      </c>
      <c r="J23">
        <v>36</v>
      </c>
      <c r="K23">
        <v>1.2</v>
      </c>
      <c r="L23">
        <v>43.2</v>
      </c>
    </row>
    <row r="24" spans="1:12" x14ac:dyDescent="0.3">
      <c r="A24">
        <v>0</v>
      </c>
      <c r="B24" t="s">
        <v>259</v>
      </c>
      <c r="C24" t="s">
        <v>271</v>
      </c>
      <c r="D24" t="s">
        <v>279</v>
      </c>
      <c r="E24" s="203">
        <v>211</v>
      </c>
      <c r="F24" s="28">
        <v>28725</v>
      </c>
      <c r="G24">
        <v>175</v>
      </c>
      <c r="H24">
        <v>56</v>
      </c>
      <c r="I24">
        <v>0</v>
      </c>
      <c r="J24">
        <v>66</v>
      </c>
      <c r="K24">
        <v>1.4</v>
      </c>
      <c r="L24">
        <v>46.9</v>
      </c>
    </row>
    <row r="25" spans="1:12" x14ac:dyDescent="0.3">
      <c r="A25">
        <v>1</v>
      </c>
      <c r="B25" t="s">
        <v>254</v>
      </c>
      <c r="C25" t="s">
        <v>266</v>
      </c>
      <c r="D25" t="s">
        <v>279</v>
      </c>
      <c r="E25" s="203">
        <v>111</v>
      </c>
      <c r="F25" s="28">
        <v>28564</v>
      </c>
      <c r="G25">
        <v>182</v>
      </c>
      <c r="H25">
        <v>76</v>
      </c>
      <c r="I25">
        <v>0</v>
      </c>
      <c r="J25">
        <v>22</v>
      </c>
      <c r="K25">
        <v>1.2</v>
      </c>
      <c r="L25">
        <v>72.8</v>
      </c>
    </row>
    <row r="26" spans="1:12" x14ac:dyDescent="0.3">
      <c r="A26">
        <v>0</v>
      </c>
      <c r="B26" t="s">
        <v>262</v>
      </c>
      <c r="C26" t="s">
        <v>274</v>
      </c>
      <c r="D26" t="s">
        <v>276</v>
      </c>
      <c r="E26" s="203">
        <v>111</v>
      </c>
      <c r="F26" s="28">
        <v>29103</v>
      </c>
      <c r="G26">
        <v>180</v>
      </c>
      <c r="H26">
        <v>80</v>
      </c>
      <c r="I26">
        <v>0</v>
      </c>
      <c r="J26">
        <v>29</v>
      </c>
      <c r="K26">
        <v>1.3</v>
      </c>
      <c r="L26">
        <v>54</v>
      </c>
    </row>
    <row r="27" spans="1:12" x14ac:dyDescent="0.3">
      <c r="A27">
        <v>0</v>
      </c>
      <c r="B27" t="s">
        <v>256</v>
      </c>
      <c r="C27" t="s">
        <v>268</v>
      </c>
      <c r="D27" t="s">
        <v>281</v>
      </c>
      <c r="E27" s="203">
        <v>311</v>
      </c>
      <c r="F27" s="28">
        <v>28697</v>
      </c>
      <c r="G27">
        <v>182</v>
      </c>
      <c r="H27">
        <v>54</v>
      </c>
      <c r="I27">
        <v>1</v>
      </c>
      <c r="J27">
        <v>64</v>
      </c>
      <c r="K27">
        <v>1.1000000000000001</v>
      </c>
      <c r="L27">
        <v>83.2</v>
      </c>
    </row>
    <row r="28" spans="1:12" x14ac:dyDescent="0.3">
      <c r="A28">
        <v>0</v>
      </c>
      <c r="B28" t="s">
        <v>261</v>
      </c>
      <c r="C28" t="s">
        <v>273</v>
      </c>
      <c r="D28" t="s">
        <v>277</v>
      </c>
      <c r="E28" s="203">
        <v>111</v>
      </c>
      <c r="F28" s="28">
        <v>28624</v>
      </c>
      <c r="G28">
        <v>185</v>
      </c>
      <c r="H28">
        <v>76</v>
      </c>
      <c r="I28">
        <v>1</v>
      </c>
      <c r="J28">
        <v>44</v>
      </c>
      <c r="K28">
        <v>1.5</v>
      </c>
      <c r="L28">
        <v>46.4</v>
      </c>
    </row>
    <row r="29" spans="1:12" x14ac:dyDescent="0.3">
      <c r="A29">
        <v>0</v>
      </c>
      <c r="B29" t="s">
        <v>186</v>
      </c>
      <c r="C29" t="s">
        <v>267</v>
      </c>
      <c r="D29" t="s">
        <v>280</v>
      </c>
      <c r="E29" s="203">
        <v>111</v>
      </c>
      <c r="F29" s="28">
        <v>28382</v>
      </c>
      <c r="G29">
        <v>174</v>
      </c>
      <c r="H29">
        <v>65</v>
      </c>
      <c r="I29">
        <v>1</v>
      </c>
      <c r="J29">
        <v>52</v>
      </c>
      <c r="K29">
        <v>1.4</v>
      </c>
      <c r="L29">
        <v>73.7</v>
      </c>
    </row>
    <row r="30" spans="1:12" x14ac:dyDescent="0.3">
      <c r="A30">
        <v>0</v>
      </c>
      <c r="B30" t="s">
        <v>258</v>
      </c>
      <c r="C30" t="s">
        <v>270</v>
      </c>
      <c r="D30" t="s">
        <v>277</v>
      </c>
      <c r="E30" s="203">
        <v>211</v>
      </c>
      <c r="F30" s="28">
        <v>28622</v>
      </c>
      <c r="G30">
        <v>176</v>
      </c>
      <c r="H30">
        <v>68</v>
      </c>
      <c r="I30">
        <v>0</v>
      </c>
      <c r="J30">
        <v>75</v>
      </c>
      <c r="K30">
        <v>1.3</v>
      </c>
      <c r="L30">
        <v>79.2</v>
      </c>
    </row>
    <row r="31" spans="1:12" x14ac:dyDescent="0.3">
      <c r="A31">
        <v>1</v>
      </c>
      <c r="B31" t="s">
        <v>257</v>
      </c>
      <c r="C31" t="s">
        <v>269</v>
      </c>
      <c r="D31" t="s">
        <v>276</v>
      </c>
      <c r="E31" s="203">
        <v>201</v>
      </c>
      <c r="F31" s="28">
        <v>28397</v>
      </c>
      <c r="G31">
        <v>180</v>
      </c>
      <c r="H31">
        <v>78</v>
      </c>
      <c r="I31">
        <v>0</v>
      </c>
      <c r="J31">
        <v>36</v>
      </c>
      <c r="K31">
        <v>1.6</v>
      </c>
      <c r="L31">
        <v>105</v>
      </c>
    </row>
    <row r="32" spans="1:12" x14ac:dyDescent="0.3">
      <c r="A32">
        <v>0</v>
      </c>
      <c r="B32" t="s">
        <v>263</v>
      </c>
      <c r="C32" t="s">
        <v>275</v>
      </c>
      <c r="D32" t="s">
        <v>277</v>
      </c>
      <c r="E32" s="203">
        <v>101</v>
      </c>
      <c r="F32" s="28">
        <v>28160</v>
      </c>
      <c r="G32">
        <v>179</v>
      </c>
      <c r="H32">
        <v>78</v>
      </c>
      <c r="I32">
        <v>1</v>
      </c>
      <c r="J32">
        <v>36</v>
      </c>
      <c r="K32">
        <v>1.4</v>
      </c>
      <c r="L32">
        <v>54.2</v>
      </c>
    </row>
    <row r="34" spans="1:12" x14ac:dyDescent="0.3">
      <c r="A34" t="s">
        <v>625</v>
      </c>
    </row>
    <row r="35" spans="1:12" ht="15" thickBot="1" x14ac:dyDescent="0.35">
      <c r="A35" s="58" t="s">
        <v>243</v>
      </c>
      <c r="B35" s="58" t="s">
        <v>178</v>
      </c>
      <c r="C35" s="58" t="s">
        <v>244</v>
      </c>
      <c r="D35" s="58" t="s">
        <v>245</v>
      </c>
      <c r="E35" s="58" t="s">
        <v>246</v>
      </c>
      <c r="F35" s="58" t="s">
        <v>1</v>
      </c>
      <c r="G35" s="58" t="s">
        <v>247</v>
      </c>
      <c r="H35" s="58" t="s">
        <v>248</v>
      </c>
      <c r="I35" s="58" t="s">
        <v>249</v>
      </c>
      <c r="J35" s="58" t="s">
        <v>250</v>
      </c>
      <c r="K35" s="58" t="s">
        <v>282</v>
      </c>
      <c r="L35" s="58" t="s">
        <v>251</v>
      </c>
    </row>
    <row r="36" spans="1:12" x14ac:dyDescent="0.3">
      <c r="A36">
        <v>0</v>
      </c>
      <c r="B36" t="s">
        <v>262</v>
      </c>
      <c r="C36" t="s">
        <v>274</v>
      </c>
      <c r="D36" t="s">
        <v>276</v>
      </c>
      <c r="E36" s="203">
        <v>111</v>
      </c>
      <c r="F36" s="28">
        <v>29103</v>
      </c>
      <c r="G36">
        <v>180</v>
      </c>
      <c r="H36">
        <v>80</v>
      </c>
      <c r="I36">
        <v>0</v>
      </c>
      <c r="J36">
        <v>29</v>
      </c>
      <c r="K36">
        <v>1.3</v>
      </c>
      <c r="L36">
        <v>54</v>
      </c>
    </row>
    <row r="37" spans="1:12" x14ac:dyDescent="0.3">
      <c r="A37">
        <v>1</v>
      </c>
      <c r="B37" t="s">
        <v>252</v>
      </c>
      <c r="C37" t="s">
        <v>195</v>
      </c>
      <c r="D37" t="s">
        <v>276</v>
      </c>
      <c r="E37" s="203">
        <v>111</v>
      </c>
      <c r="F37" s="28">
        <v>26879</v>
      </c>
      <c r="G37">
        <v>185</v>
      </c>
      <c r="H37">
        <v>75</v>
      </c>
      <c r="I37">
        <v>0</v>
      </c>
      <c r="J37">
        <v>36</v>
      </c>
      <c r="K37">
        <v>1.2</v>
      </c>
      <c r="L37">
        <v>43.2</v>
      </c>
    </row>
    <row r="38" spans="1:12" x14ac:dyDescent="0.3">
      <c r="A38">
        <v>1</v>
      </c>
      <c r="B38" t="s">
        <v>257</v>
      </c>
      <c r="C38" t="s">
        <v>269</v>
      </c>
      <c r="D38" t="s">
        <v>276</v>
      </c>
      <c r="E38" s="203">
        <v>201</v>
      </c>
      <c r="F38" s="28">
        <v>28397</v>
      </c>
      <c r="G38">
        <v>180</v>
      </c>
      <c r="H38">
        <v>78</v>
      </c>
      <c r="I38">
        <v>0</v>
      </c>
      <c r="J38">
        <v>36</v>
      </c>
      <c r="K38">
        <v>1.6</v>
      </c>
      <c r="L38">
        <v>105</v>
      </c>
    </row>
    <row r="39" spans="1:12" x14ac:dyDescent="0.3">
      <c r="A39">
        <v>0</v>
      </c>
      <c r="B39" t="s">
        <v>253</v>
      </c>
      <c r="C39" t="s">
        <v>264</v>
      </c>
      <c r="D39" t="s">
        <v>277</v>
      </c>
      <c r="E39" s="203">
        <v>201</v>
      </c>
      <c r="F39" s="28">
        <v>26912</v>
      </c>
      <c r="G39">
        <v>180</v>
      </c>
      <c r="H39">
        <v>78</v>
      </c>
      <c r="I39">
        <v>1</v>
      </c>
      <c r="J39">
        <v>45</v>
      </c>
      <c r="K39">
        <v>1.4</v>
      </c>
      <c r="L39">
        <v>67.5</v>
      </c>
    </row>
    <row r="40" spans="1:12" x14ac:dyDescent="0.3">
      <c r="A40">
        <v>0</v>
      </c>
      <c r="B40" t="s">
        <v>258</v>
      </c>
      <c r="C40" t="s">
        <v>270</v>
      </c>
      <c r="D40" t="s">
        <v>277</v>
      </c>
      <c r="E40" s="203">
        <v>211</v>
      </c>
      <c r="F40" s="28">
        <v>28622</v>
      </c>
      <c r="G40">
        <v>176</v>
      </c>
      <c r="H40">
        <v>68</v>
      </c>
      <c r="I40">
        <v>0</v>
      </c>
      <c r="J40">
        <v>75</v>
      </c>
      <c r="K40">
        <v>1.3</v>
      </c>
      <c r="L40">
        <v>79.2</v>
      </c>
    </row>
    <row r="41" spans="1:12" x14ac:dyDescent="0.3">
      <c r="A41">
        <v>0</v>
      </c>
      <c r="B41" t="s">
        <v>261</v>
      </c>
      <c r="C41" t="s">
        <v>273</v>
      </c>
      <c r="D41" t="s">
        <v>277</v>
      </c>
      <c r="E41" s="203">
        <v>111</v>
      </c>
      <c r="F41" s="28">
        <v>28624</v>
      </c>
      <c r="G41">
        <v>185</v>
      </c>
      <c r="H41">
        <v>76</v>
      </c>
      <c r="I41">
        <v>1</v>
      </c>
      <c r="J41">
        <v>44</v>
      </c>
      <c r="K41">
        <v>1.5</v>
      </c>
      <c r="L41">
        <v>46.4</v>
      </c>
    </row>
    <row r="42" spans="1:12" x14ac:dyDescent="0.3">
      <c r="A42">
        <v>0</v>
      </c>
      <c r="B42" t="s">
        <v>263</v>
      </c>
      <c r="C42" t="s">
        <v>275</v>
      </c>
      <c r="D42" t="s">
        <v>277</v>
      </c>
      <c r="E42" s="203">
        <v>101</v>
      </c>
      <c r="F42" s="28">
        <v>28160</v>
      </c>
      <c r="G42">
        <v>179</v>
      </c>
      <c r="H42">
        <v>78</v>
      </c>
      <c r="I42">
        <v>1</v>
      </c>
      <c r="J42">
        <v>36</v>
      </c>
      <c r="K42">
        <v>1.4</v>
      </c>
      <c r="L42">
        <v>54.2</v>
      </c>
    </row>
    <row r="43" spans="1:12" x14ac:dyDescent="0.3">
      <c r="A43">
        <v>0</v>
      </c>
      <c r="B43" t="s">
        <v>259</v>
      </c>
      <c r="C43" t="s">
        <v>271</v>
      </c>
      <c r="D43" t="s">
        <v>279</v>
      </c>
      <c r="E43" s="203">
        <v>211</v>
      </c>
      <c r="F43" s="28">
        <v>28725</v>
      </c>
      <c r="G43">
        <v>175</v>
      </c>
      <c r="H43">
        <v>56</v>
      </c>
      <c r="I43">
        <v>0</v>
      </c>
      <c r="J43">
        <v>66</v>
      </c>
      <c r="K43">
        <v>1.4</v>
      </c>
      <c r="L43">
        <v>46.9</v>
      </c>
    </row>
    <row r="44" spans="1:12" x14ac:dyDescent="0.3">
      <c r="A44">
        <v>1</v>
      </c>
      <c r="B44" t="s">
        <v>254</v>
      </c>
      <c r="C44" t="s">
        <v>266</v>
      </c>
      <c r="D44" t="s">
        <v>279</v>
      </c>
      <c r="E44" s="203">
        <v>111</v>
      </c>
      <c r="F44" s="28">
        <v>28564</v>
      </c>
      <c r="G44">
        <v>182</v>
      </c>
      <c r="H44">
        <v>76</v>
      </c>
      <c r="I44">
        <v>0</v>
      </c>
      <c r="J44">
        <v>22</v>
      </c>
      <c r="K44">
        <v>1.2</v>
      </c>
      <c r="L44">
        <v>72.8</v>
      </c>
    </row>
    <row r="45" spans="1:12" x14ac:dyDescent="0.3">
      <c r="A45">
        <v>0</v>
      </c>
      <c r="B45" t="s">
        <v>256</v>
      </c>
      <c r="C45" t="s">
        <v>268</v>
      </c>
      <c r="D45" t="s">
        <v>281</v>
      </c>
      <c r="E45" s="203">
        <v>311</v>
      </c>
      <c r="F45" s="28">
        <v>28697</v>
      </c>
      <c r="G45">
        <v>182</v>
      </c>
      <c r="H45">
        <v>54</v>
      </c>
      <c r="I45">
        <v>1</v>
      </c>
      <c r="J45">
        <v>64</v>
      </c>
      <c r="K45">
        <v>1.1000000000000001</v>
      </c>
      <c r="L45">
        <v>83.2</v>
      </c>
    </row>
    <row r="46" spans="1:12" x14ac:dyDescent="0.3">
      <c r="A46">
        <v>0</v>
      </c>
      <c r="B46" t="s">
        <v>186</v>
      </c>
      <c r="C46" t="s">
        <v>267</v>
      </c>
      <c r="D46" t="s">
        <v>280</v>
      </c>
      <c r="E46" s="203">
        <v>111</v>
      </c>
      <c r="F46" s="28">
        <v>28382</v>
      </c>
      <c r="G46">
        <v>174</v>
      </c>
      <c r="H46">
        <v>65</v>
      </c>
      <c r="I46">
        <v>1</v>
      </c>
      <c r="J46">
        <v>52</v>
      </c>
      <c r="K46">
        <v>1.4</v>
      </c>
      <c r="L46">
        <v>73.7</v>
      </c>
    </row>
    <row r="47" spans="1:12" x14ac:dyDescent="0.3">
      <c r="A47">
        <v>0</v>
      </c>
      <c r="B47" t="s">
        <v>255</v>
      </c>
      <c r="C47" t="s">
        <v>265</v>
      </c>
      <c r="D47" t="s">
        <v>278</v>
      </c>
      <c r="E47" s="203">
        <v>211</v>
      </c>
      <c r="F47" s="28">
        <v>28527</v>
      </c>
      <c r="G47">
        <v>175</v>
      </c>
      <c r="H47">
        <v>86</v>
      </c>
      <c r="I47">
        <v>0</v>
      </c>
      <c r="J47">
        <v>31</v>
      </c>
      <c r="K47">
        <v>1.5</v>
      </c>
      <c r="L47">
        <v>40.299999999999997</v>
      </c>
    </row>
    <row r="48" spans="1:12" x14ac:dyDescent="0.3">
      <c r="A48">
        <v>1</v>
      </c>
      <c r="B48" t="s">
        <v>260</v>
      </c>
      <c r="C48" t="s">
        <v>272</v>
      </c>
      <c r="D48" t="s">
        <v>278</v>
      </c>
      <c r="E48" s="203">
        <v>311</v>
      </c>
      <c r="F48" s="28">
        <v>28197</v>
      </c>
      <c r="G48">
        <v>182</v>
      </c>
      <c r="H48">
        <v>55</v>
      </c>
      <c r="I48">
        <v>1</v>
      </c>
      <c r="J48">
        <v>36</v>
      </c>
      <c r="K48">
        <v>1.5</v>
      </c>
      <c r="L48">
        <v>61.6</v>
      </c>
    </row>
    <row r="50" spans="1:8" ht="50.25" customHeight="1" thickBot="1" x14ac:dyDescent="0.35">
      <c r="A50" s="58" t="s">
        <v>243</v>
      </c>
      <c r="B50" s="58" t="s">
        <v>178</v>
      </c>
      <c r="C50" s="58" t="s">
        <v>244</v>
      </c>
      <c r="D50" s="58" t="s">
        <v>245</v>
      </c>
      <c r="E50" s="58" t="s">
        <v>1</v>
      </c>
      <c r="F50" s="58" t="s">
        <v>1027</v>
      </c>
      <c r="G50" s="204" t="s">
        <v>1028</v>
      </c>
      <c r="H50" s="204" t="s">
        <v>1029</v>
      </c>
    </row>
    <row r="51" spans="1:8" x14ac:dyDescent="0.3">
      <c r="A51">
        <v>0</v>
      </c>
      <c r="B51" t="s">
        <v>262</v>
      </c>
      <c r="C51" t="s">
        <v>274</v>
      </c>
      <c r="D51" t="s">
        <v>276</v>
      </c>
      <c r="E51" s="28">
        <v>29103</v>
      </c>
      <c r="F51" s="205">
        <v>54</v>
      </c>
      <c r="G51" s="203">
        <v>15</v>
      </c>
      <c r="H51" s="203">
        <v>4</v>
      </c>
    </row>
    <row r="52" spans="1:8" x14ac:dyDescent="0.3">
      <c r="A52">
        <v>1</v>
      </c>
      <c r="B52" t="s">
        <v>252</v>
      </c>
      <c r="C52" t="s">
        <v>195</v>
      </c>
      <c r="D52" t="s">
        <v>276</v>
      </c>
      <c r="E52" s="28">
        <v>26879</v>
      </c>
      <c r="F52" s="205">
        <v>48</v>
      </c>
      <c r="G52" s="203">
        <v>11</v>
      </c>
      <c r="H52" s="203">
        <v>6</v>
      </c>
    </row>
    <row r="53" spans="1:8" x14ac:dyDescent="0.3">
      <c r="A53">
        <v>1</v>
      </c>
      <c r="B53" t="s">
        <v>257</v>
      </c>
      <c r="C53" t="s">
        <v>269</v>
      </c>
      <c r="D53" t="s">
        <v>276</v>
      </c>
      <c r="E53" s="28">
        <v>28397</v>
      </c>
      <c r="F53" s="205">
        <v>45</v>
      </c>
      <c r="G53" s="203">
        <v>14</v>
      </c>
      <c r="H53" s="203">
        <v>3</v>
      </c>
    </row>
    <row r="54" spans="1:8" x14ac:dyDescent="0.3">
      <c r="A54">
        <v>0</v>
      </c>
      <c r="B54" t="s">
        <v>253</v>
      </c>
      <c r="C54" t="s">
        <v>264</v>
      </c>
      <c r="D54" t="s">
        <v>277</v>
      </c>
      <c r="E54" s="28">
        <v>26912</v>
      </c>
      <c r="F54" s="205">
        <v>62</v>
      </c>
      <c r="G54" s="203">
        <v>10</v>
      </c>
      <c r="H54" s="203">
        <v>4</v>
      </c>
    </row>
    <row r="55" spans="1:8" x14ac:dyDescent="0.3">
      <c r="A55">
        <v>0</v>
      </c>
      <c r="B55" t="s">
        <v>258</v>
      </c>
      <c r="C55" t="s">
        <v>270</v>
      </c>
      <c r="D55" t="s">
        <v>277</v>
      </c>
      <c r="E55" s="28">
        <v>28622</v>
      </c>
      <c r="F55" s="205">
        <v>55</v>
      </c>
      <c r="G55" s="203">
        <v>12</v>
      </c>
      <c r="H55" s="203">
        <v>5</v>
      </c>
    </row>
    <row r="56" spans="1:8" x14ac:dyDescent="0.3">
      <c r="A56">
        <v>0</v>
      </c>
      <c r="B56" t="s">
        <v>261</v>
      </c>
      <c r="C56" t="s">
        <v>273</v>
      </c>
      <c r="D56" t="s">
        <v>277</v>
      </c>
      <c r="E56" s="28">
        <v>28624</v>
      </c>
      <c r="F56" s="205">
        <v>58</v>
      </c>
      <c r="G56" s="203">
        <v>11</v>
      </c>
      <c r="H56" s="203">
        <v>4</v>
      </c>
    </row>
    <row r="57" spans="1:8" x14ac:dyDescent="0.3">
      <c r="A57">
        <v>0</v>
      </c>
      <c r="B57" t="s">
        <v>263</v>
      </c>
      <c r="C57" t="s">
        <v>275</v>
      </c>
      <c r="D57" t="s">
        <v>277</v>
      </c>
      <c r="E57" s="28">
        <v>28160</v>
      </c>
      <c r="F57" s="205">
        <v>57</v>
      </c>
      <c r="G57" s="203">
        <v>8</v>
      </c>
      <c r="H57" s="203">
        <v>3</v>
      </c>
    </row>
    <row r="58" spans="1:8" x14ac:dyDescent="0.3">
      <c r="A58">
        <v>0</v>
      </c>
      <c r="B58" t="s">
        <v>259</v>
      </c>
      <c r="C58" t="s">
        <v>271</v>
      </c>
      <c r="D58" t="s">
        <v>279</v>
      </c>
      <c r="E58" s="28">
        <v>28725</v>
      </c>
      <c r="F58" s="205">
        <v>41</v>
      </c>
      <c r="G58" s="203">
        <v>11</v>
      </c>
      <c r="H58" s="203">
        <v>3</v>
      </c>
    </row>
    <row r="59" spans="1:8" x14ac:dyDescent="0.3">
      <c r="A59">
        <v>1</v>
      </c>
      <c r="B59" t="s">
        <v>254</v>
      </c>
      <c r="C59" t="s">
        <v>266</v>
      </c>
      <c r="D59" t="s">
        <v>279</v>
      </c>
      <c r="E59" s="28">
        <v>28564</v>
      </c>
      <c r="F59" s="205">
        <v>45</v>
      </c>
      <c r="G59" s="203">
        <v>14</v>
      </c>
      <c r="H59" s="203">
        <v>4</v>
      </c>
    </row>
    <row r="60" spans="1:8" x14ac:dyDescent="0.3">
      <c r="A60">
        <v>0</v>
      </c>
      <c r="B60" t="s">
        <v>256</v>
      </c>
      <c r="C60" t="s">
        <v>268</v>
      </c>
      <c r="D60" t="s">
        <v>281</v>
      </c>
      <c r="E60" s="28">
        <v>28697</v>
      </c>
      <c r="F60" s="205">
        <v>57</v>
      </c>
      <c r="G60" s="203">
        <v>16</v>
      </c>
      <c r="H60" s="203">
        <v>5</v>
      </c>
    </row>
    <row r="61" spans="1:8" x14ac:dyDescent="0.3">
      <c r="A61">
        <v>0</v>
      </c>
      <c r="B61" t="s">
        <v>186</v>
      </c>
      <c r="C61" t="s">
        <v>267</v>
      </c>
      <c r="D61" t="s">
        <v>280</v>
      </c>
      <c r="E61" s="28">
        <v>28382</v>
      </c>
      <c r="F61" s="205">
        <v>49</v>
      </c>
      <c r="G61" s="203">
        <v>8</v>
      </c>
      <c r="H61" s="203">
        <v>6</v>
      </c>
    </row>
    <row r="62" spans="1:8" x14ac:dyDescent="0.3">
      <c r="A62">
        <v>0</v>
      </c>
      <c r="B62" t="s">
        <v>255</v>
      </c>
      <c r="C62" t="s">
        <v>265</v>
      </c>
      <c r="D62" t="s">
        <v>278</v>
      </c>
      <c r="E62" s="28">
        <v>28527</v>
      </c>
      <c r="F62" s="205">
        <v>57</v>
      </c>
      <c r="G62" s="203">
        <v>16</v>
      </c>
      <c r="H62" s="203">
        <v>4</v>
      </c>
    </row>
    <row r="63" spans="1:8" x14ac:dyDescent="0.3">
      <c r="A63">
        <v>1</v>
      </c>
      <c r="B63" t="s">
        <v>260</v>
      </c>
      <c r="C63" t="s">
        <v>272</v>
      </c>
      <c r="D63" t="s">
        <v>278</v>
      </c>
      <c r="E63" s="28">
        <v>28197</v>
      </c>
      <c r="F63" s="205">
        <v>51</v>
      </c>
      <c r="G63" s="203">
        <v>11</v>
      </c>
      <c r="H63" s="203">
        <v>5</v>
      </c>
    </row>
  </sheetData>
  <sortState ref="A36:L48">
    <sortCondition ref="D36:D48" customList="Praha,Brno,Ostrava"/>
  </sortState>
  <dataValidations count="4">
    <dataValidation type="list" allowBlank="1" showInputMessage="1" showErrorMessage="1" sqref="E4:E16 E20:E32 E36:E48">
      <formula1>"101,111,201,211,311"</formula1>
    </dataValidation>
    <dataValidation type="list" allowBlank="1" showInputMessage="1" showErrorMessage="1" sqref="D4:D16 D20:D32 D36:D48 D51:D63">
      <formula1>$N$4:$N$9</formula1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4:G16 G20:G32 G36:G48">
      <formula1>150</formula1>
      <formula2>190</formula2>
    </dataValidation>
    <dataValidation type="whole" allowBlank="1" showInputMessage="1" showErrorMessage="1" sqref="H4:H16 H20:H32 H36:H48">
      <formula1>50</formula1>
      <formula2>100</formula2>
    </dataValidation>
  </dataValidations>
  <hyperlinks>
    <hyperlink ref="M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tabColor rgb="FF92D050"/>
  </sheetPr>
  <dimension ref="A1:P81"/>
  <sheetViews>
    <sheetView topLeftCell="A74" workbookViewId="0"/>
  </sheetViews>
  <sheetFormatPr defaultRowHeight="14.4" x14ac:dyDescent="0.3"/>
  <cols>
    <col min="2" max="2" width="15.44140625" customWidth="1"/>
    <col min="3" max="3" width="12" customWidth="1"/>
    <col min="6" max="6" width="12.6640625" customWidth="1"/>
  </cols>
  <sheetData>
    <row r="1" spans="1:16" ht="21" x14ac:dyDescent="0.4">
      <c r="A1" s="38" t="s">
        <v>284</v>
      </c>
      <c r="O1" s="182" t="s">
        <v>1148</v>
      </c>
    </row>
    <row r="3" spans="1:16" ht="15" thickBot="1" x14ac:dyDescent="0.35">
      <c r="A3" s="58" t="s">
        <v>243</v>
      </c>
      <c r="B3" s="58" t="s">
        <v>178</v>
      </c>
      <c r="C3" s="58" t="s">
        <v>244</v>
      </c>
      <c r="D3" s="58" t="s">
        <v>245</v>
      </c>
      <c r="E3" s="58" t="s">
        <v>246</v>
      </c>
      <c r="F3" s="58" t="s">
        <v>1</v>
      </c>
      <c r="G3" s="58" t="s">
        <v>247</v>
      </c>
      <c r="H3" s="58" t="s">
        <v>248</v>
      </c>
      <c r="I3" s="58" t="s">
        <v>249</v>
      </c>
      <c r="J3" s="58" t="s">
        <v>250</v>
      </c>
      <c r="K3" s="58" t="s">
        <v>282</v>
      </c>
      <c r="L3" s="58" t="s">
        <v>251</v>
      </c>
    </row>
    <row r="4" spans="1:16" x14ac:dyDescent="0.3">
      <c r="A4">
        <v>0</v>
      </c>
      <c r="B4" t="s">
        <v>253</v>
      </c>
      <c r="C4" t="s">
        <v>264</v>
      </c>
      <c r="D4" t="s">
        <v>277</v>
      </c>
      <c r="E4">
        <v>201</v>
      </c>
      <c r="F4" s="28">
        <v>26912</v>
      </c>
      <c r="G4">
        <v>180</v>
      </c>
      <c r="H4" s="141">
        <v>78</v>
      </c>
      <c r="I4">
        <v>1</v>
      </c>
      <c r="J4">
        <v>45</v>
      </c>
      <c r="K4">
        <v>1.4</v>
      </c>
      <c r="L4">
        <v>67.5</v>
      </c>
      <c r="P4">
        <v>78</v>
      </c>
    </row>
    <row r="5" spans="1:16" x14ac:dyDescent="0.3">
      <c r="A5">
        <v>1</v>
      </c>
      <c r="B5" t="s">
        <v>631</v>
      </c>
      <c r="C5" t="s">
        <v>639</v>
      </c>
      <c r="D5" t="s">
        <v>276</v>
      </c>
      <c r="E5">
        <v>201</v>
      </c>
      <c r="F5" s="28">
        <v>28397</v>
      </c>
      <c r="G5">
        <v>180</v>
      </c>
      <c r="H5" s="141">
        <v>78</v>
      </c>
      <c r="I5">
        <v>0</v>
      </c>
      <c r="J5">
        <v>36</v>
      </c>
      <c r="K5">
        <v>1.6</v>
      </c>
      <c r="L5">
        <v>105</v>
      </c>
      <c r="P5">
        <v>78</v>
      </c>
    </row>
    <row r="6" spans="1:16" x14ac:dyDescent="0.3">
      <c r="A6">
        <v>0</v>
      </c>
      <c r="B6" t="s">
        <v>186</v>
      </c>
      <c r="C6" t="s">
        <v>267</v>
      </c>
      <c r="D6" t="s">
        <v>280</v>
      </c>
      <c r="E6">
        <v>111</v>
      </c>
      <c r="F6" s="28">
        <v>28382</v>
      </c>
      <c r="G6">
        <v>164</v>
      </c>
      <c r="H6">
        <v>65</v>
      </c>
      <c r="I6">
        <v>1</v>
      </c>
      <c r="J6">
        <v>52</v>
      </c>
      <c r="K6">
        <v>1.4</v>
      </c>
      <c r="L6">
        <v>73.7</v>
      </c>
      <c r="P6">
        <v>65</v>
      </c>
    </row>
    <row r="7" spans="1:16" x14ac:dyDescent="0.3">
      <c r="A7">
        <v>0</v>
      </c>
      <c r="B7" t="s">
        <v>256</v>
      </c>
      <c r="C7" t="s">
        <v>268</v>
      </c>
      <c r="D7" t="s">
        <v>281</v>
      </c>
      <c r="E7">
        <v>311</v>
      </c>
      <c r="F7" s="28">
        <v>28697</v>
      </c>
      <c r="G7">
        <v>182</v>
      </c>
      <c r="H7" s="141">
        <v>54</v>
      </c>
      <c r="I7">
        <v>1</v>
      </c>
      <c r="J7">
        <v>64</v>
      </c>
      <c r="K7">
        <v>1.1000000000000001</v>
      </c>
      <c r="L7">
        <v>83.2</v>
      </c>
      <c r="P7">
        <v>54</v>
      </c>
    </row>
    <row r="8" spans="1:16" x14ac:dyDescent="0.3">
      <c r="A8">
        <v>0</v>
      </c>
      <c r="B8" t="s">
        <v>258</v>
      </c>
      <c r="C8" t="s">
        <v>270</v>
      </c>
      <c r="D8" t="s">
        <v>277</v>
      </c>
      <c r="E8">
        <v>211</v>
      </c>
      <c r="F8" s="28">
        <v>28622</v>
      </c>
      <c r="G8">
        <v>176</v>
      </c>
      <c r="H8" s="141">
        <v>68</v>
      </c>
      <c r="I8">
        <v>0</v>
      </c>
      <c r="J8">
        <v>75</v>
      </c>
      <c r="K8">
        <v>1.3</v>
      </c>
      <c r="L8">
        <v>79.2</v>
      </c>
      <c r="P8">
        <v>68</v>
      </c>
    </row>
    <row r="9" spans="1:16" x14ac:dyDescent="0.3">
      <c r="A9">
        <v>0</v>
      </c>
      <c r="B9" t="s">
        <v>637</v>
      </c>
      <c r="C9" t="s">
        <v>644</v>
      </c>
      <c r="D9" t="s">
        <v>280</v>
      </c>
      <c r="E9">
        <v>111</v>
      </c>
      <c r="F9" s="28">
        <v>28382</v>
      </c>
      <c r="G9">
        <v>165</v>
      </c>
      <c r="H9">
        <v>65</v>
      </c>
      <c r="I9">
        <v>1</v>
      </c>
      <c r="J9">
        <v>52</v>
      </c>
      <c r="K9">
        <v>1.4</v>
      </c>
      <c r="L9">
        <v>73.7</v>
      </c>
      <c r="P9">
        <v>65</v>
      </c>
    </row>
    <row r="10" spans="1:16" x14ac:dyDescent="0.3">
      <c r="A10">
        <v>1</v>
      </c>
      <c r="B10" t="s">
        <v>645</v>
      </c>
      <c r="C10" t="s">
        <v>266</v>
      </c>
      <c r="D10" t="s">
        <v>278</v>
      </c>
      <c r="E10">
        <v>101</v>
      </c>
      <c r="F10" s="28">
        <v>28403</v>
      </c>
      <c r="G10">
        <v>154</v>
      </c>
      <c r="H10" s="141">
        <v>56</v>
      </c>
      <c r="I10" s="141">
        <v>0</v>
      </c>
      <c r="J10" s="141">
        <v>34</v>
      </c>
      <c r="K10" s="141">
        <v>1.1000000000000001</v>
      </c>
      <c r="L10" s="141">
        <v>54.6</v>
      </c>
      <c r="P10">
        <v>56</v>
      </c>
    </row>
    <row r="11" spans="1:16" x14ac:dyDescent="0.3">
      <c r="A11">
        <v>0</v>
      </c>
      <c r="B11" t="s">
        <v>261</v>
      </c>
      <c r="C11" t="s">
        <v>273</v>
      </c>
      <c r="D11" t="s">
        <v>277</v>
      </c>
      <c r="E11">
        <v>111</v>
      </c>
      <c r="F11" s="28">
        <v>28624</v>
      </c>
      <c r="G11">
        <v>185</v>
      </c>
      <c r="H11" s="141">
        <v>76</v>
      </c>
      <c r="I11">
        <v>1</v>
      </c>
      <c r="J11">
        <v>44</v>
      </c>
      <c r="K11">
        <v>1.5</v>
      </c>
      <c r="L11">
        <v>46.4</v>
      </c>
      <c r="P11">
        <v>76</v>
      </c>
    </row>
    <row r="12" spans="1:16" x14ac:dyDescent="0.3">
      <c r="A12">
        <v>0</v>
      </c>
      <c r="B12" t="s">
        <v>635</v>
      </c>
      <c r="C12" t="s">
        <v>642</v>
      </c>
      <c r="D12" t="s">
        <v>278</v>
      </c>
      <c r="E12">
        <v>211</v>
      </c>
      <c r="F12" s="28">
        <v>28527</v>
      </c>
      <c r="G12">
        <v>168</v>
      </c>
      <c r="H12">
        <v>86</v>
      </c>
      <c r="I12">
        <v>0</v>
      </c>
      <c r="J12">
        <v>31</v>
      </c>
      <c r="K12">
        <v>1.5</v>
      </c>
      <c r="L12">
        <v>40.299999999999997</v>
      </c>
      <c r="P12">
        <v>86</v>
      </c>
    </row>
    <row r="13" spans="1:16" x14ac:dyDescent="0.3">
      <c r="A13">
        <v>0</v>
      </c>
      <c r="B13" t="s">
        <v>626</v>
      </c>
      <c r="C13" t="s">
        <v>416</v>
      </c>
      <c r="D13" t="s">
        <v>281</v>
      </c>
      <c r="E13">
        <v>311</v>
      </c>
      <c r="F13" s="28">
        <v>28697</v>
      </c>
      <c r="G13">
        <v>182</v>
      </c>
      <c r="H13" s="141">
        <v>54</v>
      </c>
      <c r="I13">
        <v>1</v>
      </c>
      <c r="J13">
        <v>64</v>
      </c>
      <c r="K13">
        <v>1.1000000000000001</v>
      </c>
      <c r="L13">
        <v>83.2</v>
      </c>
      <c r="P13">
        <v>54</v>
      </c>
    </row>
    <row r="14" spans="1:16" x14ac:dyDescent="0.3">
      <c r="A14">
        <v>1</v>
      </c>
      <c r="B14" t="s">
        <v>254</v>
      </c>
      <c r="C14" t="s">
        <v>266</v>
      </c>
      <c r="D14" t="s">
        <v>279</v>
      </c>
      <c r="E14">
        <v>111</v>
      </c>
      <c r="F14" s="28">
        <v>28564</v>
      </c>
      <c r="G14">
        <v>182</v>
      </c>
      <c r="H14" s="141">
        <v>76</v>
      </c>
      <c r="I14">
        <v>0</v>
      </c>
      <c r="J14">
        <v>22</v>
      </c>
      <c r="K14">
        <v>1.2</v>
      </c>
      <c r="L14">
        <v>72.8</v>
      </c>
      <c r="P14">
        <v>76</v>
      </c>
    </row>
    <row r="15" spans="1:16" x14ac:dyDescent="0.3">
      <c r="A15">
        <v>0</v>
      </c>
      <c r="B15" t="s">
        <v>255</v>
      </c>
      <c r="C15" t="s">
        <v>265</v>
      </c>
      <c r="D15" t="s">
        <v>278</v>
      </c>
      <c r="E15">
        <v>211</v>
      </c>
      <c r="F15" s="28">
        <v>28527</v>
      </c>
      <c r="G15">
        <v>172</v>
      </c>
      <c r="H15">
        <v>86</v>
      </c>
      <c r="I15">
        <v>0</v>
      </c>
      <c r="J15">
        <v>31</v>
      </c>
      <c r="K15">
        <v>1.5</v>
      </c>
      <c r="L15">
        <v>40.299999999999997</v>
      </c>
      <c r="P15">
        <v>86</v>
      </c>
    </row>
    <row r="16" spans="1:16" x14ac:dyDescent="0.3">
      <c r="A16">
        <v>0</v>
      </c>
      <c r="B16" t="s">
        <v>262</v>
      </c>
      <c r="C16" t="s">
        <v>274</v>
      </c>
      <c r="D16" t="s">
        <v>276</v>
      </c>
      <c r="E16">
        <v>111</v>
      </c>
      <c r="F16" s="28">
        <v>29103</v>
      </c>
      <c r="G16">
        <v>180</v>
      </c>
      <c r="H16" s="141">
        <v>80</v>
      </c>
      <c r="I16">
        <v>0</v>
      </c>
      <c r="J16">
        <v>29</v>
      </c>
      <c r="K16">
        <v>1.3</v>
      </c>
      <c r="L16">
        <v>54</v>
      </c>
      <c r="P16">
        <v>80</v>
      </c>
    </row>
    <row r="17" spans="1:16" x14ac:dyDescent="0.3">
      <c r="A17">
        <v>1</v>
      </c>
      <c r="B17" t="s">
        <v>646</v>
      </c>
      <c r="C17" t="s">
        <v>550</v>
      </c>
      <c r="D17" t="s">
        <v>279</v>
      </c>
      <c r="E17">
        <v>201</v>
      </c>
      <c r="F17" s="28">
        <v>28743</v>
      </c>
      <c r="G17">
        <v>156</v>
      </c>
      <c r="H17" s="141">
        <v>51</v>
      </c>
      <c r="I17" s="141">
        <v>0</v>
      </c>
      <c r="J17" s="141">
        <v>56</v>
      </c>
      <c r="K17" s="141">
        <v>1.2</v>
      </c>
      <c r="L17" s="141">
        <v>74.2</v>
      </c>
      <c r="P17">
        <v>51</v>
      </c>
    </row>
    <row r="18" spans="1:16" x14ac:dyDescent="0.3">
      <c r="A18">
        <v>1</v>
      </c>
      <c r="B18" t="s">
        <v>629</v>
      </c>
      <c r="C18" t="s">
        <v>269</v>
      </c>
      <c r="D18" t="s">
        <v>278</v>
      </c>
      <c r="E18">
        <v>311</v>
      </c>
      <c r="F18" s="28">
        <v>28197</v>
      </c>
      <c r="G18">
        <v>182</v>
      </c>
      <c r="H18" s="141">
        <v>55</v>
      </c>
      <c r="I18">
        <v>1</v>
      </c>
      <c r="J18">
        <v>36</v>
      </c>
      <c r="K18">
        <v>1.5</v>
      </c>
      <c r="L18">
        <v>61.6</v>
      </c>
      <c r="P18">
        <v>55</v>
      </c>
    </row>
    <row r="19" spans="1:16" x14ac:dyDescent="0.3">
      <c r="A19">
        <v>1</v>
      </c>
      <c r="B19" t="s">
        <v>260</v>
      </c>
      <c r="C19" t="s">
        <v>272</v>
      </c>
      <c r="D19" t="s">
        <v>278</v>
      </c>
      <c r="E19">
        <v>311</v>
      </c>
      <c r="F19" s="28">
        <v>28197</v>
      </c>
      <c r="G19">
        <v>182</v>
      </c>
      <c r="H19" s="141">
        <v>55</v>
      </c>
      <c r="I19">
        <v>1</v>
      </c>
      <c r="J19">
        <v>36</v>
      </c>
      <c r="K19">
        <v>1.5</v>
      </c>
      <c r="L19">
        <v>61.6</v>
      </c>
      <c r="P19">
        <v>55</v>
      </c>
    </row>
    <row r="20" spans="1:16" x14ac:dyDescent="0.3">
      <c r="A20">
        <v>0</v>
      </c>
      <c r="B20" t="s">
        <v>648</v>
      </c>
      <c r="C20" t="s">
        <v>650</v>
      </c>
      <c r="D20" t="s">
        <v>276</v>
      </c>
      <c r="E20">
        <v>211</v>
      </c>
      <c r="F20" s="28">
        <v>27496</v>
      </c>
      <c r="G20">
        <v>178</v>
      </c>
      <c r="H20" s="141">
        <v>69</v>
      </c>
      <c r="I20" s="141">
        <v>1</v>
      </c>
      <c r="J20" s="141">
        <v>45</v>
      </c>
      <c r="K20" s="141">
        <v>1.4</v>
      </c>
      <c r="L20" s="141">
        <v>68.2</v>
      </c>
      <c r="P20">
        <v>69</v>
      </c>
    </row>
    <row r="21" spans="1:16" x14ac:dyDescent="0.3">
      <c r="A21">
        <v>1</v>
      </c>
      <c r="B21" t="s">
        <v>252</v>
      </c>
      <c r="C21" t="s">
        <v>195</v>
      </c>
      <c r="D21" t="s">
        <v>276</v>
      </c>
      <c r="E21">
        <v>111</v>
      </c>
      <c r="F21" s="28">
        <v>26879</v>
      </c>
      <c r="G21">
        <v>185</v>
      </c>
      <c r="H21">
        <v>75</v>
      </c>
      <c r="I21">
        <v>0</v>
      </c>
      <c r="J21">
        <v>36</v>
      </c>
      <c r="K21">
        <v>1.2</v>
      </c>
      <c r="L21">
        <v>43.2</v>
      </c>
      <c r="P21">
        <v>75</v>
      </c>
    </row>
    <row r="22" spans="1:16" x14ac:dyDescent="0.3">
      <c r="A22">
        <v>0</v>
      </c>
      <c r="B22" t="s">
        <v>647</v>
      </c>
      <c r="C22" t="s">
        <v>267</v>
      </c>
      <c r="D22" t="s">
        <v>278</v>
      </c>
      <c r="E22">
        <v>111</v>
      </c>
      <c r="F22" s="28">
        <v>28614</v>
      </c>
      <c r="G22">
        <v>185</v>
      </c>
      <c r="H22" s="141">
        <v>78</v>
      </c>
      <c r="I22" s="141">
        <v>0</v>
      </c>
      <c r="J22" s="141">
        <v>34</v>
      </c>
      <c r="K22" s="141">
        <v>1.3</v>
      </c>
      <c r="L22" s="141">
        <v>35.4</v>
      </c>
      <c r="P22">
        <v>78</v>
      </c>
    </row>
    <row r="23" spans="1:16" x14ac:dyDescent="0.3">
      <c r="A23">
        <v>0</v>
      </c>
      <c r="B23" t="s">
        <v>259</v>
      </c>
      <c r="C23" t="s">
        <v>271</v>
      </c>
      <c r="D23" t="s">
        <v>279</v>
      </c>
      <c r="E23">
        <v>211</v>
      </c>
      <c r="F23" s="28">
        <v>28725</v>
      </c>
      <c r="G23">
        <v>174</v>
      </c>
      <c r="H23">
        <v>56</v>
      </c>
      <c r="I23">
        <v>0</v>
      </c>
      <c r="J23">
        <v>66</v>
      </c>
      <c r="K23">
        <v>1.4</v>
      </c>
      <c r="L23">
        <v>46.9</v>
      </c>
      <c r="P23">
        <v>56</v>
      </c>
    </row>
    <row r="24" spans="1:16" x14ac:dyDescent="0.3">
      <c r="A24">
        <v>1</v>
      </c>
      <c r="B24" t="s">
        <v>649</v>
      </c>
      <c r="C24" t="s">
        <v>651</v>
      </c>
      <c r="D24" t="s">
        <v>281</v>
      </c>
      <c r="E24">
        <v>101</v>
      </c>
      <c r="F24" s="28">
        <v>28271</v>
      </c>
      <c r="G24">
        <v>152</v>
      </c>
      <c r="H24" s="141">
        <v>65</v>
      </c>
      <c r="I24" s="141">
        <v>1</v>
      </c>
      <c r="J24" s="141">
        <v>29</v>
      </c>
      <c r="K24" s="141">
        <v>1.2</v>
      </c>
      <c r="L24" s="141">
        <v>41.9</v>
      </c>
      <c r="P24">
        <v>65</v>
      </c>
    </row>
    <row r="25" spans="1:16" x14ac:dyDescent="0.3">
      <c r="A25">
        <v>0</v>
      </c>
      <c r="B25" t="s">
        <v>633</v>
      </c>
      <c r="C25" t="s">
        <v>640</v>
      </c>
      <c r="D25" t="s">
        <v>277</v>
      </c>
      <c r="E25">
        <v>101</v>
      </c>
      <c r="F25" s="28">
        <v>28160</v>
      </c>
      <c r="G25">
        <v>179</v>
      </c>
      <c r="H25" s="141">
        <v>78</v>
      </c>
      <c r="I25">
        <v>1</v>
      </c>
      <c r="J25">
        <v>36</v>
      </c>
      <c r="K25">
        <v>1.4</v>
      </c>
      <c r="L25">
        <v>54.2</v>
      </c>
      <c r="P25">
        <v>78</v>
      </c>
    </row>
    <row r="26" spans="1:16" x14ac:dyDescent="0.3">
      <c r="A26">
        <v>0</v>
      </c>
      <c r="B26" t="s">
        <v>632</v>
      </c>
      <c r="C26" t="s">
        <v>268</v>
      </c>
      <c r="D26" t="s">
        <v>276</v>
      </c>
      <c r="E26">
        <v>111</v>
      </c>
      <c r="F26" s="28">
        <v>29103</v>
      </c>
      <c r="G26">
        <v>180</v>
      </c>
      <c r="H26" s="141">
        <v>80</v>
      </c>
      <c r="I26">
        <v>0</v>
      </c>
      <c r="J26">
        <v>29</v>
      </c>
      <c r="K26">
        <v>1.3</v>
      </c>
      <c r="L26">
        <v>54</v>
      </c>
      <c r="P26">
        <v>80</v>
      </c>
    </row>
    <row r="27" spans="1:16" x14ac:dyDescent="0.3">
      <c r="A27">
        <v>0</v>
      </c>
      <c r="B27" t="s">
        <v>630</v>
      </c>
      <c r="C27" t="s">
        <v>638</v>
      </c>
      <c r="D27" t="s">
        <v>277</v>
      </c>
      <c r="E27">
        <v>201</v>
      </c>
      <c r="F27" s="28">
        <v>26912</v>
      </c>
      <c r="G27">
        <v>180</v>
      </c>
      <c r="H27" s="141">
        <v>78</v>
      </c>
      <c r="I27">
        <v>1</v>
      </c>
      <c r="J27">
        <v>45</v>
      </c>
      <c r="K27">
        <v>1.4</v>
      </c>
      <c r="L27">
        <v>67.5</v>
      </c>
      <c r="P27">
        <v>78</v>
      </c>
    </row>
    <row r="28" spans="1:16" x14ac:dyDescent="0.3">
      <c r="A28">
        <v>1</v>
      </c>
      <c r="B28" t="s">
        <v>257</v>
      </c>
      <c r="C28" t="s">
        <v>269</v>
      </c>
      <c r="D28" t="s">
        <v>276</v>
      </c>
      <c r="E28">
        <v>201</v>
      </c>
      <c r="F28" s="28">
        <v>28397</v>
      </c>
      <c r="G28">
        <v>180</v>
      </c>
      <c r="H28" s="141">
        <v>78</v>
      </c>
      <c r="I28">
        <v>0</v>
      </c>
      <c r="J28">
        <v>36</v>
      </c>
      <c r="K28">
        <v>1.6</v>
      </c>
      <c r="L28">
        <v>105</v>
      </c>
      <c r="P28">
        <v>78</v>
      </c>
    </row>
    <row r="29" spans="1:16" x14ac:dyDescent="0.3">
      <c r="A29">
        <v>0</v>
      </c>
      <c r="B29" t="s">
        <v>636</v>
      </c>
      <c r="C29" t="s">
        <v>643</v>
      </c>
      <c r="D29" t="s">
        <v>279</v>
      </c>
      <c r="E29">
        <v>211</v>
      </c>
      <c r="F29" s="28">
        <v>28725</v>
      </c>
      <c r="G29">
        <v>170</v>
      </c>
      <c r="H29">
        <v>56</v>
      </c>
      <c r="I29">
        <v>0</v>
      </c>
      <c r="J29">
        <v>66</v>
      </c>
      <c r="K29">
        <v>1.4</v>
      </c>
      <c r="L29">
        <v>46.9</v>
      </c>
      <c r="P29">
        <v>56</v>
      </c>
    </row>
    <row r="30" spans="1:16" x14ac:dyDescent="0.3">
      <c r="A30">
        <v>0</v>
      </c>
      <c r="B30" t="s">
        <v>634</v>
      </c>
      <c r="C30" t="s">
        <v>641</v>
      </c>
      <c r="D30" t="s">
        <v>277</v>
      </c>
      <c r="E30">
        <v>211</v>
      </c>
      <c r="F30" s="28">
        <v>28622</v>
      </c>
      <c r="G30">
        <v>175</v>
      </c>
      <c r="H30" s="141">
        <v>68</v>
      </c>
      <c r="I30">
        <v>0</v>
      </c>
      <c r="J30">
        <v>75</v>
      </c>
      <c r="K30">
        <v>1.3</v>
      </c>
      <c r="L30">
        <v>79.2</v>
      </c>
      <c r="P30">
        <v>68</v>
      </c>
    </row>
    <row r="31" spans="1:16" x14ac:dyDescent="0.3">
      <c r="A31">
        <v>1</v>
      </c>
      <c r="B31" t="s">
        <v>627</v>
      </c>
      <c r="C31" t="s">
        <v>628</v>
      </c>
      <c r="D31" t="s">
        <v>622</v>
      </c>
      <c r="E31">
        <v>101</v>
      </c>
      <c r="F31" s="28">
        <v>27895</v>
      </c>
      <c r="G31">
        <v>178</v>
      </c>
      <c r="H31" s="141">
        <v>72</v>
      </c>
      <c r="I31" s="141">
        <v>1</v>
      </c>
      <c r="J31" s="141">
        <v>30</v>
      </c>
      <c r="K31" s="141">
        <v>1.5</v>
      </c>
      <c r="L31" s="141">
        <v>70.400000000000006</v>
      </c>
      <c r="P31">
        <v>72</v>
      </c>
    </row>
    <row r="32" spans="1:16" x14ac:dyDescent="0.3">
      <c r="A32">
        <v>0</v>
      </c>
      <c r="B32" t="s">
        <v>263</v>
      </c>
      <c r="C32" t="s">
        <v>275</v>
      </c>
      <c r="D32" t="s">
        <v>277</v>
      </c>
      <c r="E32">
        <v>101</v>
      </c>
      <c r="F32" s="28">
        <v>28160</v>
      </c>
      <c r="G32">
        <v>179</v>
      </c>
      <c r="H32" s="141">
        <v>78</v>
      </c>
      <c r="I32">
        <v>1</v>
      </c>
      <c r="J32">
        <v>36</v>
      </c>
      <c r="K32">
        <v>1.4</v>
      </c>
      <c r="L32">
        <v>54.2</v>
      </c>
      <c r="P32">
        <v>78</v>
      </c>
    </row>
    <row r="35" spans="2:16" x14ac:dyDescent="0.3">
      <c r="B35" s="154" t="s">
        <v>245</v>
      </c>
      <c r="C35" s="154" t="s">
        <v>247</v>
      </c>
      <c r="D35" s="154" t="s">
        <v>248</v>
      </c>
      <c r="F35" s="156" t="s">
        <v>245</v>
      </c>
      <c r="G35" s="156" t="s">
        <v>247</v>
      </c>
      <c r="H35" s="156" t="s">
        <v>248</v>
      </c>
      <c r="J35" s="155" t="s">
        <v>245</v>
      </c>
      <c r="K35" s="155" t="s">
        <v>247</v>
      </c>
      <c r="L35" s="155" t="s">
        <v>248</v>
      </c>
      <c r="N35" s="155" t="s">
        <v>245</v>
      </c>
      <c r="O35" s="155" t="s">
        <v>248</v>
      </c>
      <c r="P35" s="155" t="s">
        <v>248</v>
      </c>
    </row>
    <row r="36" spans="2:16" x14ac:dyDescent="0.3">
      <c r="B36" s="154" t="s">
        <v>276</v>
      </c>
      <c r="C36" s="154" t="s">
        <v>652</v>
      </c>
      <c r="D36" s="154"/>
      <c r="F36" s="156" t="s">
        <v>276</v>
      </c>
      <c r="G36" s="156" t="s">
        <v>620</v>
      </c>
      <c r="H36" s="156"/>
      <c r="J36" s="155" t="s">
        <v>276</v>
      </c>
      <c r="K36" s="155" t="s">
        <v>621</v>
      </c>
      <c r="L36" s="155" t="s">
        <v>285</v>
      </c>
      <c r="N36" s="155"/>
      <c r="O36" s="155" t="s">
        <v>677</v>
      </c>
      <c r="P36" s="155" t="s">
        <v>678</v>
      </c>
    </row>
    <row r="37" spans="2:16" x14ac:dyDescent="0.3">
      <c r="B37" s="154" t="s">
        <v>277</v>
      </c>
      <c r="C37" s="154"/>
      <c r="D37" s="154" t="s">
        <v>285</v>
      </c>
      <c r="F37" s="156" t="s">
        <v>277</v>
      </c>
      <c r="G37" s="156"/>
      <c r="H37" s="156" t="s">
        <v>285</v>
      </c>
      <c r="J37" s="155" t="s">
        <v>277</v>
      </c>
      <c r="K37" s="155"/>
      <c r="L37" s="155"/>
      <c r="N37" s="155"/>
    </row>
    <row r="40" spans="2:16" x14ac:dyDescent="0.3">
      <c r="L40" s="109" t="s">
        <v>245</v>
      </c>
      <c r="M40" s="109" t="s">
        <v>1</v>
      </c>
      <c r="N40" s="109" t="s">
        <v>248</v>
      </c>
    </row>
    <row r="41" spans="2:16" x14ac:dyDescent="0.3">
      <c r="L41" s="109" t="s">
        <v>276</v>
      </c>
      <c r="M41" s="109" t="s">
        <v>654</v>
      </c>
      <c r="N41" s="109" t="s">
        <v>653</v>
      </c>
    </row>
    <row r="42" spans="2:16" x14ac:dyDescent="0.3">
      <c r="L42" s="109" t="s">
        <v>277</v>
      </c>
      <c r="M42" s="109" t="s">
        <v>654</v>
      </c>
      <c r="N42" s="109" t="s">
        <v>653</v>
      </c>
    </row>
    <row r="43" spans="2:16" x14ac:dyDescent="0.3">
      <c r="L43" s="109" t="s">
        <v>278</v>
      </c>
      <c r="M43" s="109" t="s">
        <v>654</v>
      </c>
      <c r="N43" s="109" t="s">
        <v>653</v>
      </c>
    </row>
    <row r="53" spans="1:12" ht="15" hidden="1" thickBot="1" x14ac:dyDescent="0.35">
      <c r="A53" s="58" t="s">
        <v>243</v>
      </c>
      <c r="B53" s="58" t="s">
        <v>178</v>
      </c>
      <c r="C53" s="58" t="s">
        <v>244</v>
      </c>
      <c r="D53" s="58" t="s">
        <v>245</v>
      </c>
      <c r="E53" s="58" t="s">
        <v>246</v>
      </c>
      <c r="F53" s="58" t="s">
        <v>1</v>
      </c>
      <c r="G53" s="58" t="s">
        <v>247</v>
      </c>
      <c r="H53" s="58" t="s">
        <v>248</v>
      </c>
      <c r="I53" s="58" t="s">
        <v>249</v>
      </c>
      <c r="J53" s="58" t="s">
        <v>250</v>
      </c>
      <c r="K53" s="58" t="s">
        <v>282</v>
      </c>
      <c r="L53" s="58" t="s">
        <v>251</v>
      </c>
    </row>
    <row r="54" spans="1:12" hidden="1" x14ac:dyDescent="0.3">
      <c r="A54">
        <v>0</v>
      </c>
      <c r="B54" t="s">
        <v>635</v>
      </c>
      <c r="C54" t="s">
        <v>642</v>
      </c>
      <c r="D54" t="s">
        <v>278</v>
      </c>
      <c r="E54">
        <v>211</v>
      </c>
      <c r="F54" s="28">
        <v>28527</v>
      </c>
      <c r="G54">
        <v>168</v>
      </c>
      <c r="H54">
        <v>86</v>
      </c>
      <c r="I54">
        <v>0</v>
      </c>
      <c r="J54">
        <v>31</v>
      </c>
      <c r="K54">
        <v>1.5</v>
      </c>
      <c r="L54">
        <v>40.299999999999997</v>
      </c>
    </row>
    <row r="55" spans="1:12" hidden="1" x14ac:dyDescent="0.3">
      <c r="A55">
        <v>0</v>
      </c>
      <c r="B55" t="s">
        <v>255</v>
      </c>
      <c r="C55" t="s">
        <v>265</v>
      </c>
      <c r="D55" t="s">
        <v>278</v>
      </c>
      <c r="E55">
        <v>211</v>
      </c>
      <c r="F55" s="28">
        <v>28527</v>
      </c>
      <c r="G55">
        <v>172</v>
      </c>
      <c r="H55">
        <v>86</v>
      </c>
      <c r="I55">
        <v>0</v>
      </c>
      <c r="J55">
        <v>31</v>
      </c>
      <c r="K55">
        <v>1.5</v>
      </c>
      <c r="L55">
        <v>40.299999999999997</v>
      </c>
    </row>
    <row r="56" spans="1:12" hidden="1" x14ac:dyDescent="0.3">
      <c r="A56">
        <v>0</v>
      </c>
      <c r="B56" t="s">
        <v>262</v>
      </c>
      <c r="C56" t="s">
        <v>274</v>
      </c>
      <c r="D56" t="s">
        <v>276</v>
      </c>
      <c r="E56">
        <v>111</v>
      </c>
      <c r="F56" s="28">
        <v>29103</v>
      </c>
      <c r="G56">
        <v>180</v>
      </c>
      <c r="H56" s="141">
        <v>80</v>
      </c>
      <c r="I56">
        <v>0</v>
      </c>
      <c r="J56">
        <v>29</v>
      </c>
      <c r="K56">
        <v>1.3</v>
      </c>
      <c r="L56">
        <v>54</v>
      </c>
    </row>
    <row r="57" spans="1:12" hidden="1" x14ac:dyDescent="0.3">
      <c r="A57">
        <v>0</v>
      </c>
      <c r="B57" t="s">
        <v>647</v>
      </c>
      <c r="C57" t="s">
        <v>267</v>
      </c>
      <c r="D57" t="s">
        <v>278</v>
      </c>
      <c r="E57">
        <v>111</v>
      </c>
      <c r="F57" s="28">
        <v>28614</v>
      </c>
      <c r="G57">
        <v>185</v>
      </c>
      <c r="H57" s="141">
        <v>78</v>
      </c>
      <c r="I57" s="141">
        <v>0</v>
      </c>
      <c r="J57" s="141">
        <v>34</v>
      </c>
      <c r="K57" s="141">
        <v>1.3</v>
      </c>
      <c r="L57" s="141">
        <v>35.4</v>
      </c>
    </row>
    <row r="58" spans="1:12" hidden="1" x14ac:dyDescent="0.3">
      <c r="A58">
        <v>0</v>
      </c>
      <c r="B58" t="s">
        <v>632</v>
      </c>
      <c r="C58" t="s">
        <v>268</v>
      </c>
      <c r="D58" t="s">
        <v>276</v>
      </c>
      <c r="E58">
        <v>111</v>
      </c>
      <c r="F58" s="28">
        <v>29103</v>
      </c>
      <c r="G58">
        <v>180</v>
      </c>
      <c r="H58" s="141">
        <v>80</v>
      </c>
      <c r="I58">
        <v>0</v>
      </c>
      <c r="J58">
        <v>29</v>
      </c>
      <c r="K58">
        <v>1.3</v>
      </c>
      <c r="L58">
        <v>54</v>
      </c>
    </row>
    <row r="62" spans="1:12" ht="15" thickBot="1" x14ac:dyDescent="0.35">
      <c r="A62" s="58" t="s">
        <v>243</v>
      </c>
      <c r="B62" s="58" t="s">
        <v>178</v>
      </c>
      <c r="C62" s="58" t="s">
        <v>244</v>
      </c>
      <c r="D62" s="58" t="s">
        <v>245</v>
      </c>
      <c r="E62" s="58" t="s">
        <v>246</v>
      </c>
      <c r="F62" s="58" t="s">
        <v>1</v>
      </c>
      <c r="G62" s="58" t="s">
        <v>247</v>
      </c>
      <c r="H62" s="58" t="s">
        <v>248</v>
      </c>
      <c r="I62" s="58" t="s">
        <v>249</v>
      </c>
      <c r="J62" s="58" t="s">
        <v>250</v>
      </c>
      <c r="K62" s="58" t="s">
        <v>282</v>
      </c>
      <c r="L62" s="58" t="s">
        <v>251</v>
      </c>
    </row>
    <row r="63" spans="1:12" x14ac:dyDescent="0.3">
      <c r="A63">
        <v>0</v>
      </c>
      <c r="B63" t="s">
        <v>186</v>
      </c>
      <c r="C63" t="s">
        <v>267</v>
      </c>
      <c r="D63" t="s">
        <v>280</v>
      </c>
      <c r="E63">
        <v>111</v>
      </c>
      <c r="F63" s="28">
        <v>28382</v>
      </c>
      <c r="G63">
        <v>164</v>
      </c>
      <c r="H63">
        <v>65</v>
      </c>
      <c r="I63">
        <v>1</v>
      </c>
      <c r="J63">
        <v>52</v>
      </c>
      <c r="K63">
        <v>1.4</v>
      </c>
      <c r="L63">
        <v>73.7</v>
      </c>
    </row>
    <row r="64" spans="1:12" x14ac:dyDescent="0.3">
      <c r="A64">
        <v>0</v>
      </c>
      <c r="B64" t="s">
        <v>258</v>
      </c>
      <c r="C64" t="s">
        <v>270</v>
      </c>
      <c r="D64" t="s">
        <v>277</v>
      </c>
      <c r="E64">
        <v>211</v>
      </c>
      <c r="F64" s="28">
        <v>28622</v>
      </c>
      <c r="G64">
        <v>176</v>
      </c>
      <c r="H64" s="141">
        <v>68</v>
      </c>
      <c r="I64">
        <v>0</v>
      </c>
      <c r="J64">
        <v>75</v>
      </c>
      <c r="K64">
        <v>1.3</v>
      </c>
      <c r="L64">
        <v>79.2</v>
      </c>
    </row>
    <row r="65" spans="1:12" x14ac:dyDescent="0.3">
      <c r="A65">
        <v>0</v>
      </c>
      <c r="B65" t="s">
        <v>637</v>
      </c>
      <c r="C65" t="s">
        <v>644</v>
      </c>
      <c r="D65" t="s">
        <v>280</v>
      </c>
      <c r="E65">
        <v>111</v>
      </c>
      <c r="F65" s="28">
        <v>28382</v>
      </c>
      <c r="G65">
        <v>165</v>
      </c>
      <c r="H65">
        <v>65</v>
      </c>
      <c r="I65">
        <v>1</v>
      </c>
      <c r="J65">
        <v>52</v>
      </c>
      <c r="K65">
        <v>1.4</v>
      </c>
      <c r="L65">
        <v>73.7</v>
      </c>
    </row>
    <row r="66" spans="1:12" x14ac:dyDescent="0.3">
      <c r="A66">
        <v>0</v>
      </c>
      <c r="B66" t="s">
        <v>261</v>
      </c>
      <c r="C66" t="s">
        <v>273</v>
      </c>
      <c r="D66" t="s">
        <v>277</v>
      </c>
      <c r="E66">
        <v>111</v>
      </c>
      <c r="F66" s="28">
        <v>28624</v>
      </c>
      <c r="G66">
        <v>185</v>
      </c>
      <c r="H66" s="141">
        <v>76</v>
      </c>
      <c r="I66">
        <v>1</v>
      </c>
      <c r="J66">
        <v>44</v>
      </c>
      <c r="K66">
        <v>1.5</v>
      </c>
      <c r="L66">
        <v>46.4</v>
      </c>
    </row>
    <row r="67" spans="1:12" x14ac:dyDescent="0.3">
      <c r="A67">
        <v>1</v>
      </c>
      <c r="B67" t="s">
        <v>254</v>
      </c>
      <c r="C67" t="s">
        <v>266</v>
      </c>
      <c r="D67" t="s">
        <v>279</v>
      </c>
      <c r="E67">
        <v>111</v>
      </c>
      <c r="F67" s="28">
        <v>28564</v>
      </c>
      <c r="G67">
        <v>182</v>
      </c>
      <c r="H67" s="141">
        <v>76</v>
      </c>
      <c r="I67">
        <v>0</v>
      </c>
      <c r="J67">
        <v>22</v>
      </c>
      <c r="K67">
        <v>1.2</v>
      </c>
      <c r="L67">
        <v>72.8</v>
      </c>
    </row>
    <row r="68" spans="1:12" x14ac:dyDescent="0.3">
      <c r="A68">
        <v>0</v>
      </c>
      <c r="B68" t="s">
        <v>648</v>
      </c>
      <c r="C68" t="s">
        <v>650</v>
      </c>
      <c r="D68" t="s">
        <v>276</v>
      </c>
      <c r="E68">
        <v>211</v>
      </c>
      <c r="F68" s="28">
        <v>27496</v>
      </c>
      <c r="G68">
        <v>178</v>
      </c>
      <c r="H68" s="141">
        <v>69</v>
      </c>
      <c r="I68" s="141">
        <v>1</v>
      </c>
      <c r="J68" s="141">
        <v>45</v>
      </c>
      <c r="K68" s="141">
        <v>1.4</v>
      </c>
      <c r="L68" s="141">
        <v>68.2</v>
      </c>
    </row>
    <row r="69" spans="1:12" x14ac:dyDescent="0.3">
      <c r="A69">
        <v>1</v>
      </c>
      <c r="B69" t="s">
        <v>252</v>
      </c>
      <c r="C69" t="s">
        <v>195</v>
      </c>
      <c r="D69" t="s">
        <v>276</v>
      </c>
      <c r="E69">
        <v>111</v>
      </c>
      <c r="F69" s="28">
        <v>26879</v>
      </c>
      <c r="G69">
        <v>185</v>
      </c>
      <c r="H69">
        <v>75</v>
      </c>
      <c r="I69">
        <v>0</v>
      </c>
      <c r="J69">
        <v>36</v>
      </c>
      <c r="K69">
        <v>1.2</v>
      </c>
      <c r="L69">
        <v>43.2</v>
      </c>
    </row>
    <row r="70" spans="1:12" x14ac:dyDescent="0.3">
      <c r="A70">
        <v>1</v>
      </c>
      <c r="B70" t="s">
        <v>649</v>
      </c>
      <c r="C70" t="s">
        <v>651</v>
      </c>
      <c r="D70" t="s">
        <v>281</v>
      </c>
      <c r="E70">
        <v>101</v>
      </c>
      <c r="F70" s="28">
        <v>28271</v>
      </c>
      <c r="G70">
        <v>152</v>
      </c>
      <c r="H70" s="141">
        <v>65</v>
      </c>
      <c r="I70" s="141">
        <v>1</v>
      </c>
      <c r="J70" s="141">
        <v>29</v>
      </c>
      <c r="K70" s="141">
        <v>1.2</v>
      </c>
      <c r="L70" s="141">
        <v>41.9</v>
      </c>
    </row>
    <row r="71" spans="1:12" x14ac:dyDescent="0.3">
      <c r="A71">
        <v>0</v>
      </c>
      <c r="B71" t="s">
        <v>634</v>
      </c>
      <c r="C71" t="s">
        <v>641</v>
      </c>
      <c r="D71" t="s">
        <v>277</v>
      </c>
      <c r="E71">
        <v>211</v>
      </c>
      <c r="F71" s="28">
        <v>28622</v>
      </c>
      <c r="G71">
        <v>175</v>
      </c>
      <c r="H71" s="141">
        <v>68</v>
      </c>
      <c r="I71">
        <v>0</v>
      </c>
      <c r="J71">
        <v>75</v>
      </c>
      <c r="K71">
        <v>1.3</v>
      </c>
      <c r="L71">
        <v>79.2</v>
      </c>
    </row>
    <row r="72" spans="1:12" x14ac:dyDescent="0.3">
      <c r="A72">
        <v>1</v>
      </c>
      <c r="B72" t="s">
        <v>627</v>
      </c>
      <c r="C72" t="s">
        <v>628</v>
      </c>
      <c r="D72" t="s">
        <v>622</v>
      </c>
      <c r="E72">
        <v>101</v>
      </c>
      <c r="F72" s="28">
        <v>27895</v>
      </c>
      <c r="G72">
        <v>178</v>
      </c>
      <c r="H72" s="141">
        <v>72</v>
      </c>
      <c r="I72" s="141">
        <v>1</v>
      </c>
      <c r="J72" s="141">
        <v>30</v>
      </c>
      <c r="K72" s="141">
        <v>1.5</v>
      </c>
      <c r="L72" s="141">
        <v>70.400000000000006</v>
      </c>
    </row>
    <row r="76" spans="1:12" ht="15" thickBot="1" x14ac:dyDescent="0.35">
      <c r="A76" s="58" t="s">
        <v>243</v>
      </c>
      <c r="B76" s="58" t="s">
        <v>178</v>
      </c>
      <c r="C76" s="58" t="s">
        <v>244</v>
      </c>
      <c r="D76" s="58" t="s">
        <v>245</v>
      </c>
      <c r="E76" s="58" t="s">
        <v>246</v>
      </c>
      <c r="F76" s="58" t="s">
        <v>1</v>
      </c>
      <c r="G76" s="58" t="s">
        <v>247</v>
      </c>
      <c r="H76" s="58" t="s">
        <v>248</v>
      </c>
      <c r="I76" s="58" t="s">
        <v>249</v>
      </c>
      <c r="J76" s="58" t="s">
        <v>250</v>
      </c>
      <c r="K76" s="58" t="s">
        <v>282</v>
      </c>
      <c r="L76" s="58" t="s">
        <v>251</v>
      </c>
    </row>
    <row r="77" spans="1:12" x14ac:dyDescent="0.3">
      <c r="A77">
        <v>0</v>
      </c>
      <c r="B77" t="s">
        <v>635</v>
      </c>
      <c r="C77" t="s">
        <v>642</v>
      </c>
      <c r="D77" t="s">
        <v>278</v>
      </c>
      <c r="E77">
        <v>211</v>
      </c>
      <c r="F77" s="28">
        <v>28527</v>
      </c>
      <c r="G77">
        <v>168</v>
      </c>
      <c r="H77">
        <v>86</v>
      </c>
      <c r="I77">
        <v>0</v>
      </c>
      <c r="J77">
        <v>31</v>
      </c>
      <c r="K77">
        <v>1.5</v>
      </c>
      <c r="L77">
        <v>40.299999999999997</v>
      </c>
    </row>
    <row r="78" spans="1:12" x14ac:dyDescent="0.3">
      <c r="A78">
        <v>0</v>
      </c>
      <c r="B78" t="s">
        <v>255</v>
      </c>
      <c r="C78" t="s">
        <v>265</v>
      </c>
      <c r="D78" t="s">
        <v>278</v>
      </c>
      <c r="E78">
        <v>211</v>
      </c>
      <c r="F78" s="28">
        <v>28527</v>
      </c>
      <c r="G78">
        <v>172</v>
      </c>
      <c r="H78">
        <v>86</v>
      </c>
      <c r="I78">
        <v>0</v>
      </c>
      <c r="J78">
        <v>31</v>
      </c>
      <c r="K78">
        <v>1.5</v>
      </c>
      <c r="L78">
        <v>40.299999999999997</v>
      </c>
    </row>
    <row r="79" spans="1:12" x14ac:dyDescent="0.3">
      <c r="A79">
        <v>0</v>
      </c>
      <c r="B79" t="s">
        <v>262</v>
      </c>
      <c r="C79" t="s">
        <v>274</v>
      </c>
      <c r="D79" t="s">
        <v>276</v>
      </c>
      <c r="E79">
        <v>111</v>
      </c>
      <c r="F79" s="28">
        <v>29103</v>
      </c>
      <c r="G79">
        <v>180</v>
      </c>
      <c r="H79" s="141">
        <v>80</v>
      </c>
      <c r="I79">
        <v>0</v>
      </c>
      <c r="J79">
        <v>29</v>
      </c>
      <c r="K79">
        <v>1.3</v>
      </c>
      <c r="L79">
        <v>54</v>
      </c>
    </row>
    <row r="80" spans="1:12" x14ac:dyDescent="0.3">
      <c r="A80">
        <v>0</v>
      </c>
      <c r="B80" t="s">
        <v>647</v>
      </c>
      <c r="C80" t="s">
        <v>267</v>
      </c>
      <c r="D80" t="s">
        <v>278</v>
      </c>
      <c r="E80">
        <v>111</v>
      </c>
      <c r="F80" s="28">
        <v>28614</v>
      </c>
      <c r="G80">
        <v>185</v>
      </c>
      <c r="H80" s="141">
        <v>78</v>
      </c>
      <c r="I80" s="141">
        <v>0</v>
      </c>
      <c r="J80" s="141">
        <v>34</v>
      </c>
      <c r="K80" s="141">
        <v>1.3</v>
      </c>
      <c r="L80" s="141">
        <v>35.4</v>
      </c>
    </row>
    <row r="81" spans="1:12" x14ac:dyDescent="0.3">
      <c r="A81">
        <v>0</v>
      </c>
      <c r="B81" t="s">
        <v>632</v>
      </c>
      <c r="C81" t="s">
        <v>268</v>
      </c>
      <c r="D81" t="s">
        <v>276</v>
      </c>
      <c r="E81">
        <v>111</v>
      </c>
      <c r="F81" s="28">
        <v>29103</v>
      </c>
      <c r="G81">
        <v>180</v>
      </c>
      <c r="H81" s="141">
        <v>80</v>
      </c>
      <c r="I81">
        <v>0</v>
      </c>
      <c r="J81">
        <v>29</v>
      </c>
      <c r="K81">
        <v>1.3</v>
      </c>
      <c r="L81">
        <v>54</v>
      </c>
    </row>
  </sheetData>
  <sortState ref="A61:L75">
    <sortCondition ref="D61:D75"/>
    <sortCondition ref="H61:H75"/>
  </sortState>
  <dataValidations count="3">
    <dataValidation type="whole" allowBlank="1" showInputMessage="1" showErrorMessage="1" sqref="H4:H32">
      <formula1>50</formula1>
      <formula2>100</formula2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4:G32">
      <formula1>150</formula1>
      <formula2>190</formula2>
    </dataValidation>
    <dataValidation type="list" allowBlank="1" showInputMessage="1" showErrorMessage="1" sqref="E4:E32">
      <formula1>"101,111,201,211,311"</formula1>
    </dataValidation>
  </dataValidations>
  <hyperlinks>
    <hyperlink ref="O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rgb="FF92D050"/>
  </sheetPr>
  <dimension ref="A1:N24"/>
  <sheetViews>
    <sheetView topLeftCell="A19" workbookViewId="0">
      <selection activeCell="A23" sqref="A23:XFD27"/>
    </sheetView>
  </sheetViews>
  <sheetFormatPr defaultRowHeight="14.4" x14ac:dyDescent="0.3"/>
  <cols>
    <col min="6" max="6" width="12.6640625" customWidth="1"/>
  </cols>
  <sheetData>
    <row r="1" spans="1:12" ht="21" x14ac:dyDescent="0.4">
      <c r="A1" s="38" t="s">
        <v>284</v>
      </c>
    </row>
    <row r="3" spans="1:12" ht="15" thickBot="1" x14ac:dyDescent="0.35">
      <c r="A3" s="58" t="s">
        <v>243</v>
      </c>
      <c r="B3" s="58" t="s">
        <v>178</v>
      </c>
      <c r="C3" s="58" t="s">
        <v>244</v>
      </c>
      <c r="D3" s="58" t="s">
        <v>245</v>
      </c>
      <c r="E3" s="58" t="s">
        <v>246</v>
      </c>
      <c r="F3" s="58" t="s">
        <v>1</v>
      </c>
      <c r="G3" s="58" t="s">
        <v>247</v>
      </c>
      <c r="H3" s="58" t="s">
        <v>248</v>
      </c>
      <c r="I3" s="58" t="s">
        <v>249</v>
      </c>
      <c r="J3" s="58" t="s">
        <v>250</v>
      </c>
      <c r="K3" s="58" t="s">
        <v>282</v>
      </c>
      <c r="L3" s="58" t="s">
        <v>251</v>
      </c>
    </row>
    <row r="4" spans="1:12" x14ac:dyDescent="0.3">
      <c r="A4">
        <v>1</v>
      </c>
      <c r="B4" t="s">
        <v>252</v>
      </c>
      <c r="C4" t="s">
        <v>195</v>
      </c>
      <c r="D4" t="s">
        <v>276</v>
      </c>
      <c r="E4">
        <v>111</v>
      </c>
      <c r="F4" s="28">
        <v>26879</v>
      </c>
      <c r="G4">
        <v>185</v>
      </c>
      <c r="H4">
        <v>75</v>
      </c>
      <c r="I4">
        <v>0</v>
      </c>
      <c r="J4">
        <v>36</v>
      </c>
      <c r="K4">
        <v>1.2</v>
      </c>
      <c r="L4">
        <v>43.2</v>
      </c>
    </row>
    <row r="5" spans="1:12" x14ac:dyDescent="0.3">
      <c r="A5">
        <v>0</v>
      </c>
      <c r="B5" t="s">
        <v>261</v>
      </c>
      <c r="C5" t="s">
        <v>273</v>
      </c>
      <c r="D5" t="s">
        <v>277</v>
      </c>
      <c r="E5">
        <v>111</v>
      </c>
      <c r="F5" s="28">
        <v>28624</v>
      </c>
      <c r="G5">
        <v>185</v>
      </c>
      <c r="H5" s="141">
        <v>76</v>
      </c>
      <c r="I5">
        <v>1</v>
      </c>
      <c r="J5">
        <v>44</v>
      </c>
      <c r="K5">
        <v>1.5</v>
      </c>
      <c r="L5">
        <v>46.4</v>
      </c>
    </row>
    <row r="6" spans="1:12" x14ac:dyDescent="0.3">
      <c r="A6">
        <v>1</v>
      </c>
      <c r="B6" t="s">
        <v>254</v>
      </c>
      <c r="C6" t="s">
        <v>266</v>
      </c>
      <c r="D6" t="s">
        <v>279</v>
      </c>
      <c r="E6">
        <v>111</v>
      </c>
      <c r="F6" s="28">
        <v>28564</v>
      </c>
      <c r="G6">
        <v>182</v>
      </c>
      <c r="H6" s="141">
        <v>76</v>
      </c>
      <c r="I6">
        <v>0</v>
      </c>
      <c r="J6">
        <v>22</v>
      </c>
      <c r="K6">
        <v>1.2</v>
      </c>
      <c r="L6">
        <v>72.8</v>
      </c>
    </row>
    <row r="7" spans="1:12" x14ac:dyDescent="0.3">
      <c r="A7">
        <v>0</v>
      </c>
      <c r="B7" t="s">
        <v>256</v>
      </c>
      <c r="C7" t="s">
        <v>268</v>
      </c>
      <c r="D7" t="s">
        <v>281</v>
      </c>
      <c r="E7">
        <v>311</v>
      </c>
      <c r="F7" s="28">
        <v>28697</v>
      </c>
      <c r="G7">
        <v>182</v>
      </c>
      <c r="H7" s="141">
        <v>54</v>
      </c>
      <c r="I7">
        <v>1</v>
      </c>
      <c r="J7">
        <v>64</v>
      </c>
      <c r="K7">
        <v>1.1000000000000001</v>
      </c>
      <c r="L7">
        <v>83.2</v>
      </c>
    </row>
    <row r="8" spans="1:12" x14ac:dyDescent="0.3">
      <c r="A8">
        <v>1</v>
      </c>
      <c r="B8" t="s">
        <v>260</v>
      </c>
      <c r="C8" t="s">
        <v>272</v>
      </c>
      <c r="D8" t="s">
        <v>278</v>
      </c>
      <c r="E8">
        <v>311</v>
      </c>
      <c r="F8" s="28">
        <v>28197</v>
      </c>
      <c r="G8">
        <v>182</v>
      </c>
      <c r="H8" s="141">
        <v>55</v>
      </c>
      <c r="I8">
        <v>1</v>
      </c>
      <c r="J8">
        <v>36</v>
      </c>
      <c r="K8">
        <v>1.5</v>
      </c>
      <c r="L8">
        <v>61.6</v>
      </c>
    </row>
    <row r="9" spans="1:12" x14ac:dyDescent="0.3">
      <c r="A9">
        <v>0</v>
      </c>
      <c r="B9" t="s">
        <v>253</v>
      </c>
      <c r="C9" t="s">
        <v>264</v>
      </c>
      <c r="D9" t="s">
        <v>277</v>
      </c>
      <c r="E9">
        <v>201</v>
      </c>
      <c r="F9" s="28">
        <v>26912</v>
      </c>
      <c r="G9">
        <v>180</v>
      </c>
      <c r="H9" s="141">
        <v>78</v>
      </c>
      <c r="I9">
        <v>1</v>
      </c>
      <c r="J9">
        <v>45</v>
      </c>
      <c r="K9">
        <v>1.4</v>
      </c>
      <c r="L9">
        <v>67.5</v>
      </c>
    </row>
    <row r="10" spans="1:12" x14ac:dyDescent="0.3">
      <c r="A10">
        <v>1</v>
      </c>
      <c r="B10" t="s">
        <v>257</v>
      </c>
      <c r="C10" t="s">
        <v>269</v>
      </c>
      <c r="D10" t="s">
        <v>276</v>
      </c>
      <c r="E10">
        <v>201</v>
      </c>
      <c r="F10" s="28">
        <v>28397</v>
      </c>
      <c r="G10">
        <v>180</v>
      </c>
      <c r="H10" s="141">
        <v>78</v>
      </c>
      <c r="I10">
        <v>0</v>
      </c>
      <c r="J10">
        <v>36</v>
      </c>
      <c r="K10">
        <v>1.6</v>
      </c>
      <c r="L10">
        <v>105</v>
      </c>
    </row>
    <row r="11" spans="1:12" x14ac:dyDescent="0.3">
      <c r="A11">
        <v>0</v>
      </c>
      <c r="B11" t="s">
        <v>262</v>
      </c>
      <c r="C11" t="s">
        <v>274</v>
      </c>
      <c r="D11" t="s">
        <v>276</v>
      </c>
      <c r="E11">
        <v>111</v>
      </c>
      <c r="F11" s="28">
        <v>29103</v>
      </c>
      <c r="G11">
        <v>180</v>
      </c>
      <c r="H11" s="141">
        <v>80</v>
      </c>
      <c r="I11">
        <v>0</v>
      </c>
      <c r="J11">
        <v>29</v>
      </c>
      <c r="K11">
        <v>1.3</v>
      </c>
      <c r="L11">
        <v>54</v>
      </c>
    </row>
    <row r="12" spans="1:12" x14ac:dyDescent="0.3">
      <c r="A12">
        <v>0</v>
      </c>
      <c r="B12" t="s">
        <v>263</v>
      </c>
      <c r="C12" t="s">
        <v>275</v>
      </c>
      <c r="D12" t="s">
        <v>277</v>
      </c>
      <c r="E12">
        <v>101</v>
      </c>
      <c r="F12" s="28">
        <v>28160</v>
      </c>
      <c r="G12">
        <v>179</v>
      </c>
      <c r="H12" s="141">
        <v>78</v>
      </c>
      <c r="I12">
        <v>1</v>
      </c>
      <c r="J12">
        <v>36</v>
      </c>
      <c r="K12">
        <v>1.4</v>
      </c>
      <c r="L12">
        <v>54.2</v>
      </c>
    </row>
    <row r="13" spans="1:12" x14ac:dyDescent="0.3">
      <c r="A13">
        <v>0</v>
      </c>
      <c r="B13" t="s">
        <v>258</v>
      </c>
      <c r="C13" t="s">
        <v>270</v>
      </c>
      <c r="D13" t="s">
        <v>277</v>
      </c>
      <c r="E13">
        <v>211</v>
      </c>
      <c r="F13" s="28">
        <v>28622</v>
      </c>
      <c r="G13">
        <v>176</v>
      </c>
      <c r="H13" s="141">
        <v>68</v>
      </c>
      <c r="I13">
        <v>0</v>
      </c>
      <c r="J13">
        <v>75</v>
      </c>
      <c r="K13">
        <v>1.3</v>
      </c>
      <c r="L13">
        <v>79.2</v>
      </c>
    </row>
    <row r="14" spans="1:12" x14ac:dyDescent="0.3">
      <c r="A14">
        <v>0</v>
      </c>
      <c r="B14" t="s">
        <v>255</v>
      </c>
      <c r="C14" t="s">
        <v>265</v>
      </c>
      <c r="D14" t="s">
        <v>278</v>
      </c>
      <c r="E14">
        <v>211</v>
      </c>
      <c r="F14" s="28">
        <v>28527</v>
      </c>
      <c r="G14">
        <v>175</v>
      </c>
      <c r="H14">
        <v>86</v>
      </c>
      <c r="I14">
        <v>0</v>
      </c>
      <c r="J14">
        <v>31</v>
      </c>
      <c r="K14">
        <v>1.5</v>
      </c>
      <c r="L14">
        <v>40.299999999999997</v>
      </c>
    </row>
    <row r="15" spans="1:12" x14ac:dyDescent="0.3">
      <c r="A15">
        <v>0</v>
      </c>
      <c r="B15" t="s">
        <v>259</v>
      </c>
      <c r="C15" t="s">
        <v>271</v>
      </c>
      <c r="D15" t="s">
        <v>279</v>
      </c>
      <c r="E15">
        <v>211</v>
      </c>
      <c r="F15" s="28">
        <v>28725</v>
      </c>
      <c r="G15">
        <v>175</v>
      </c>
      <c r="H15">
        <v>56</v>
      </c>
      <c r="I15">
        <v>0</v>
      </c>
      <c r="J15">
        <v>66</v>
      </c>
      <c r="K15">
        <v>1.4</v>
      </c>
      <c r="L15">
        <v>46.9</v>
      </c>
    </row>
    <row r="16" spans="1:12" x14ac:dyDescent="0.3">
      <c r="A16">
        <v>0</v>
      </c>
      <c r="B16" t="s">
        <v>186</v>
      </c>
      <c r="C16" t="s">
        <v>267</v>
      </c>
      <c r="D16" t="s">
        <v>280</v>
      </c>
      <c r="E16">
        <v>111</v>
      </c>
      <c r="F16" s="28">
        <v>28382</v>
      </c>
      <c r="G16">
        <v>174</v>
      </c>
      <c r="H16">
        <v>65</v>
      </c>
      <c r="I16">
        <v>1</v>
      </c>
      <c r="J16">
        <v>52</v>
      </c>
      <c r="K16">
        <v>1.4</v>
      </c>
      <c r="L16">
        <v>73.7</v>
      </c>
    </row>
    <row r="18" spans="2:14" x14ac:dyDescent="0.3">
      <c r="L18" t="s">
        <v>245</v>
      </c>
      <c r="M18" t="s">
        <v>247</v>
      </c>
      <c r="N18" t="s">
        <v>248</v>
      </c>
    </row>
    <row r="19" spans="2:14" x14ac:dyDescent="0.3">
      <c r="B19" t="s">
        <v>245</v>
      </c>
      <c r="C19" t="s">
        <v>247</v>
      </c>
      <c r="D19" t="s">
        <v>248</v>
      </c>
      <c r="G19" t="s">
        <v>245</v>
      </c>
      <c r="H19" t="s">
        <v>247</v>
      </c>
      <c r="I19" t="s">
        <v>248</v>
      </c>
      <c r="L19" t="s">
        <v>276</v>
      </c>
      <c r="M19" t="s">
        <v>621</v>
      </c>
      <c r="N19" t="s">
        <v>285</v>
      </c>
    </row>
    <row r="20" spans="2:14" x14ac:dyDescent="0.3">
      <c r="B20" t="s">
        <v>276</v>
      </c>
      <c r="C20" t="s">
        <v>620</v>
      </c>
      <c r="G20" t="s">
        <v>276</v>
      </c>
      <c r="H20" t="s">
        <v>620</v>
      </c>
      <c r="L20" t="s">
        <v>277</v>
      </c>
    </row>
    <row r="21" spans="2:14" x14ac:dyDescent="0.3">
      <c r="B21" t="s">
        <v>277</v>
      </c>
      <c r="D21" t="s">
        <v>285</v>
      </c>
      <c r="G21" t="s">
        <v>277</v>
      </c>
      <c r="I21" t="s">
        <v>285</v>
      </c>
    </row>
    <row r="23" spans="2:14" x14ac:dyDescent="0.3">
      <c r="F23" s="28"/>
    </row>
    <row r="24" spans="2:14" x14ac:dyDescent="0.3">
      <c r="F24" s="28"/>
    </row>
  </sheetData>
  <dataValidations count="4">
    <dataValidation type="list" allowBlank="1" showInputMessage="1" showErrorMessage="1" sqref="E4:E16">
      <formula1>"101,111,201,211,311"</formula1>
    </dataValidation>
    <dataValidation type="list" allowBlank="1" showInputMessage="1" showErrorMessage="1" sqref="D4:D16">
      <formula1>$N$4:$N$9</formula1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4:G16">
      <formula1>150</formula1>
      <formula2>190</formula2>
    </dataValidation>
    <dataValidation type="whole" allowBlank="1" showInputMessage="1" showErrorMessage="1" sqref="H4:H16">
      <formula1>50</formula1>
      <formula2>100</formula2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rgb="FFFFFF00"/>
  </sheetPr>
  <dimension ref="B3:G26"/>
  <sheetViews>
    <sheetView workbookViewId="0">
      <selection activeCell="F22" sqref="F22"/>
    </sheetView>
  </sheetViews>
  <sheetFormatPr defaultRowHeight="14.4" x14ac:dyDescent="0.3"/>
  <cols>
    <col min="2" max="2" width="36.77734375" customWidth="1"/>
    <col min="3" max="3" width="10.44140625" customWidth="1"/>
    <col min="4" max="4" width="14.109375" customWidth="1"/>
    <col min="5" max="5" width="23.44140625" customWidth="1"/>
    <col min="6" max="6" width="33" customWidth="1"/>
  </cols>
  <sheetData>
    <row r="3" spans="2:7" x14ac:dyDescent="0.3">
      <c r="B3" t="s">
        <v>773</v>
      </c>
      <c r="C3" t="s">
        <v>774</v>
      </c>
      <c r="D3" t="s">
        <v>775</v>
      </c>
      <c r="E3" t="s">
        <v>776</v>
      </c>
      <c r="F3" t="str">
        <f>CONCATENATE(D3," ",C3,"; ",E3)</f>
        <v>Synek Jarda; synek@seznam.cz</v>
      </c>
      <c r="G3" t="str">
        <f>D3&amp;" "&amp;C3&amp;"; "&amp;E3</f>
        <v>Synek Jarda; synek@seznam.cz</v>
      </c>
    </row>
    <row r="4" spans="2:7" x14ac:dyDescent="0.3">
      <c r="B4" t="s">
        <v>777</v>
      </c>
      <c r="C4" t="s">
        <v>195</v>
      </c>
      <c r="D4" t="s">
        <v>1163</v>
      </c>
      <c r="E4" t="s">
        <v>1179</v>
      </c>
      <c r="F4" t="str">
        <f t="shared" ref="F4:F9" si="0">CONCATENATE(D4," ",C4,"; ",E4)</f>
        <v>Havel Jan; havel@gmail.com</v>
      </c>
      <c r="G4" t="str">
        <f t="shared" ref="G4:G9" si="1">D4&amp;" "&amp;C4&amp;"; "&amp;E4</f>
        <v>Havel Jan; havel@gmail.com</v>
      </c>
    </row>
    <row r="5" spans="2:7" x14ac:dyDescent="0.3">
      <c r="B5" t="s">
        <v>778</v>
      </c>
      <c r="C5" t="s">
        <v>779</v>
      </c>
      <c r="D5" t="s">
        <v>838</v>
      </c>
      <c r="E5" t="s">
        <v>1180</v>
      </c>
      <c r="F5" t="str">
        <f t="shared" si="0"/>
        <v>Malá Jitka; mala@yahoo.com</v>
      </c>
      <c r="G5" t="str">
        <f t="shared" si="1"/>
        <v>Malá Jitka; mala@yahoo.com</v>
      </c>
    </row>
    <row r="6" spans="2:7" x14ac:dyDescent="0.3">
      <c r="B6" t="s">
        <v>780</v>
      </c>
      <c r="C6" t="s">
        <v>643</v>
      </c>
      <c r="D6" t="s">
        <v>1181</v>
      </c>
      <c r="E6" t="s">
        <v>1182</v>
      </c>
      <c r="F6" t="str">
        <f t="shared" si="0"/>
        <v>Gabrielová Hana; gabi@email.cz</v>
      </c>
      <c r="G6" t="str">
        <f t="shared" si="1"/>
        <v>Gabrielová Hana; gabi@email.cz</v>
      </c>
    </row>
    <row r="7" spans="2:7" x14ac:dyDescent="0.3">
      <c r="B7" t="s">
        <v>781</v>
      </c>
      <c r="C7" t="s">
        <v>416</v>
      </c>
      <c r="D7" t="s">
        <v>1183</v>
      </c>
      <c r="E7" t="s">
        <v>1184</v>
      </c>
      <c r="F7" t="str">
        <f t="shared" si="0"/>
        <v>Rolná Eva; evik@gmail.com</v>
      </c>
      <c r="G7" t="str">
        <f t="shared" si="1"/>
        <v>Rolná Eva; evik@gmail.com</v>
      </c>
    </row>
    <row r="8" spans="2:7" x14ac:dyDescent="0.3">
      <c r="B8" t="s">
        <v>782</v>
      </c>
      <c r="C8" t="s">
        <v>266</v>
      </c>
      <c r="D8" t="s">
        <v>1185</v>
      </c>
      <c r="E8" t="s">
        <v>1186</v>
      </c>
      <c r="F8" t="str">
        <f t="shared" si="0"/>
        <v>Visinger Jiří; visinger@tiscali.cz</v>
      </c>
      <c r="G8" t="str">
        <f t="shared" si="1"/>
        <v>Visinger Jiří; visinger@tiscali.cz</v>
      </c>
    </row>
    <row r="9" spans="2:7" x14ac:dyDescent="0.3">
      <c r="B9" t="s">
        <v>783</v>
      </c>
      <c r="C9" t="s">
        <v>660</v>
      </c>
      <c r="D9" t="s">
        <v>1187</v>
      </c>
      <c r="E9" t="s">
        <v>1188</v>
      </c>
      <c r="F9" t="str">
        <f t="shared" si="0"/>
        <v>Gruber Hans; gruber@snaper.com</v>
      </c>
      <c r="G9" t="str">
        <f t="shared" si="1"/>
        <v>Gruber Hans; gruber@snaper.com</v>
      </c>
    </row>
    <row r="11" spans="2:7" x14ac:dyDescent="0.3">
      <c r="B11" t="s">
        <v>773</v>
      </c>
      <c r="C11" t="s">
        <v>774</v>
      </c>
      <c r="D11" t="s">
        <v>775</v>
      </c>
    </row>
    <row r="12" spans="2:7" x14ac:dyDescent="0.3">
      <c r="B12" t="s">
        <v>777</v>
      </c>
      <c r="C12" t="s">
        <v>195</v>
      </c>
      <c r="D12" t="s">
        <v>1163</v>
      </c>
    </row>
    <row r="13" spans="2:7" x14ac:dyDescent="0.3">
      <c r="B13" t="s">
        <v>778</v>
      </c>
      <c r="C13" t="s">
        <v>779</v>
      </c>
      <c r="D13" t="s">
        <v>838</v>
      </c>
    </row>
    <row r="14" spans="2:7" x14ac:dyDescent="0.3">
      <c r="B14" t="s">
        <v>780</v>
      </c>
      <c r="C14" t="s">
        <v>643</v>
      </c>
      <c r="D14" t="s">
        <v>1181</v>
      </c>
    </row>
    <row r="15" spans="2:7" x14ac:dyDescent="0.3">
      <c r="B15" t="s">
        <v>781</v>
      </c>
      <c r="C15" t="s">
        <v>416</v>
      </c>
      <c r="D15" t="s">
        <v>1183</v>
      </c>
    </row>
    <row r="16" spans="2:7" x14ac:dyDescent="0.3">
      <c r="B16" t="s">
        <v>782</v>
      </c>
      <c r="C16" t="s">
        <v>266</v>
      </c>
      <c r="D16" t="s">
        <v>1185</v>
      </c>
    </row>
    <row r="17" spans="2:4" x14ac:dyDescent="0.3">
      <c r="B17" t="s">
        <v>783</v>
      </c>
      <c r="C17" t="s">
        <v>660</v>
      </c>
      <c r="D17" t="s">
        <v>1187</v>
      </c>
    </row>
    <row r="19" spans="2:4" ht="15" thickBot="1" x14ac:dyDescent="0.35"/>
    <row r="20" spans="2:4" x14ac:dyDescent="0.3">
      <c r="B20" s="287" t="s">
        <v>1189</v>
      </c>
      <c r="C20" s="289" t="s">
        <v>1190</v>
      </c>
      <c r="D20" s="290"/>
    </row>
    <row r="21" spans="2:4" ht="15" thickBot="1" x14ac:dyDescent="0.35">
      <c r="B21" s="288"/>
      <c r="C21" s="282" t="s">
        <v>1191</v>
      </c>
      <c r="D21" s="283" t="s">
        <v>1192</v>
      </c>
    </row>
    <row r="22" spans="2:4" x14ac:dyDescent="0.3">
      <c r="B22" s="270"/>
      <c r="C22" s="271"/>
      <c r="D22" s="272"/>
    </row>
    <row r="23" spans="2:4" x14ac:dyDescent="0.3">
      <c r="B23" s="273"/>
      <c r="C23" s="274"/>
      <c r="D23" s="275"/>
    </row>
    <row r="24" spans="2:4" x14ac:dyDescent="0.3">
      <c r="B24" s="276"/>
      <c r="C24" s="277"/>
      <c r="D24" s="278"/>
    </row>
    <row r="25" spans="2:4" x14ac:dyDescent="0.3">
      <c r="B25" s="273"/>
      <c r="C25" s="274"/>
      <c r="D25" s="275"/>
    </row>
    <row r="26" spans="2:4" ht="15" thickBot="1" x14ac:dyDescent="0.35">
      <c r="B26" s="279"/>
      <c r="C26" s="280"/>
      <c r="D26" s="281"/>
    </row>
  </sheetData>
  <mergeCells count="2">
    <mergeCell ref="B20:B21"/>
    <mergeCell ref="C20:D20"/>
  </mergeCells>
  <pageMargins left="0.7" right="0.7" top="0.78740157499999996" bottom="0.78740157499999996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tabColor rgb="FF92D050"/>
  </sheetPr>
  <dimension ref="A1:N101"/>
  <sheetViews>
    <sheetView topLeftCell="A49" workbookViewId="0">
      <selection activeCell="N1" sqref="N1"/>
    </sheetView>
  </sheetViews>
  <sheetFormatPr defaultRowHeight="14.4" x14ac:dyDescent="0.3"/>
  <cols>
    <col min="4" max="4" width="16.33203125" bestFit="1" customWidth="1"/>
    <col min="6" max="6" width="12.6640625" customWidth="1"/>
  </cols>
  <sheetData>
    <row r="1" spans="1:14" ht="21" x14ac:dyDescent="0.4">
      <c r="A1" s="38" t="s">
        <v>286</v>
      </c>
      <c r="N1" s="182" t="s">
        <v>1148</v>
      </c>
    </row>
    <row r="2" spans="1:14" ht="34.5" customHeight="1" x14ac:dyDescent="0.3"/>
    <row r="3" spans="1:14" ht="15" thickBot="1" x14ac:dyDescent="0.35">
      <c r="A3" s="58" t="s">
        <v>243</v>
      </c>
      <c r="B3" s="58" t="s">
        <v>178</v>
      </c>
      <c r="C3" s="58" t="s">
        <v>244</v>
      </c>
      <c r="D3" s="58" t="s">
        <v>245</v>
      </c>
      <c r="E3" s="58" t="s">
        <v>246</v>
      </c>
      <c r="F3" s="58" t="s">
        <v>1</v>
      </c>
      <c r="G3" s="58" t="s">
        <v>247</v>
      </c>
      <c r="H3" s="58" t="s">
        <v>248</v>
      </c>
      <c r="I3" s="58" t="s">
        <v>249</v>
      </c>
      <c r="J3" s="58" t="s">
        <v>250</v>
      </c>
      <c r="K3" s="58" t="s">
        <v>282</v>
      </c>
      <c r="L3" s="58" t="s">
        <v>251</v>
      </c>
    </row>
    <row r="4" spans="1:14" x14ac:dyDescent="0.3">
      <c r="A4">
        <v>0</v>
      </c>
      <c r="B4" t="s">
        <v>253</v>
      </c>
      <c r="C4" t="s">
        <v>264</v>
      </c>
      <c r="D4" t="s">
        <v>277</v>
      </c>
      <c r="E4">
        <v>201</v>
      </c>
      <c r="F4" s="28">
        <v>26912</v>
      </c>
      <c r="G4">
        <v>180</v>
      </c>
      <c r="H4" s="141">
        <v>78</v>
      </c>
      <c r="I4">
        <v>1</v>
      </c>
      <c r="J4">
        <v>45</v>
      </c>
      <c r="K4">
        <v>1.4</v>
      </c>
      <c r="L4">
        <v>67.5</v>
      </c>
    </row>
    <row r="5" spans="1:14" x14ac:dyDescent="0.3">
      <c r="A5">
        <v>1</v>
      </c>
      <c r="B5" t="s">
        <v>631</v>
      </c>
      <c r="C5" t="s">
        <v>639</v>
      </c>
      <c r="D5" t="s">
        <v>276</v>
      </c>
      <c r="E5">
        <v>201</v>
      </c>
      <c r="F5" s="28">
        <v>28397</v>
      </c>
      <c r="G5">
        <v>180</v>
      </c>
      <c r="H5" s="141">
        <v>78</v>
      </c>
      <c r="I5">
        <v>0</v>
      </c>
      <c r="J5">
        <v>36</v>
      </c>
      <c r="K5">
        <v>1.6</v>
      </c>
      <c r="L5">
        <v>105</v>
      </c>
    </row>
    <row r="6" spans="1:14" x14ac:dyDescent="0.3">
      <c r="A6">
        <v>0</v>
      </c>
      <c r="B6" t="s">
        <v>186</v>
      </c>
      <c r="C6" t="s">
        <v>267</v>
      </c>
      <c r="D6" t="s">
        <v>280</v>
      </c>
      <c r="E6">
        <v>111</v>
      </c>
      <c r="F6" s="28">
        <v>28382</v>
      </c>
      <c r="G6">
        <v>164</v>
      </c>
      <c r="H6">
        <v>65</v>
      </c>
      <c r="I6">
        <v>1</v>
      </c>
      <c r="J6">
        <v>52</v>
      </c>
      <c r="K6">
        <v>1.4</v>
      </c>
      <c r="L6">
        <v>73.7</v>
      </c>
    </row>
    <row r="7" spans="1:14" x14ac:dyDescent="0.3">
      <c r="A7">
        <v>0</v>
      </c>
      <c r="B7" t="s">
        <v>256</v>
      </c>
      <c r="C7" t="s">
        <v>268</v>
      </c>
      <c r="D7" t="s">
        <v>281</v>
      </c>
      <c r="E7">
        <v>311</v>
      </c>
      <c r="F7" s="28">
        <v>28697</v>
      </c>
      <c r="G7">
        <v>182</v>
      </c>
      <c r="H7" s="141">
        <v>54</v>
      </c>
      <c r="I7">
        <v>1</v>
      </c>
      <c r="J7">
        <v>64</v>
      </c>
      <c r="K7">
        <v>1.1000000000000001</v>
      </c>
      <c r="L7">
        <v>83.2</v>
      </c>
    </row>
    <row r="8" spans="1:14" x14ac:dyDescent="0.3">
      <c r="A8">
        <v>0</v>
      </c>
      <c r="B8" t="s">
        <v>258</v>
      </c>
      <c r="C8" t="s">
        <v>270</v>
      </c>
      <c r="D8" t="s">
        <v>277</v>
      </c>
      <c r="E8">
        <v>211</v>
      </c>
      <c r="F8" s="28">
        <v>28622</v>
      </c>
      <c r="G8">
        <v>176</v>
      </c>
      <c r="H8" s="141">
        <v>68</v>
      </c>
      <c r="I8">
        <v>0</v>
      </c>
      <c r="J8">
        <v>75</v>
      </c>
      <c r="K8">
        <v>1.3</v>
      </c>
      <c r="L8">
        <v>79.2</v>
      </c>
    </row>
    <row r="9" spans="1:14" x14ac:dyDescent="0.3">
      <c r="A9">
        <v>0</v>
      </c>
      <c r="B9" t="s">
        <v>637</v>
      </c>
      <c r="C9" t="s">
        <v>644</v>
      </c>
      <c r="D9" t="s">
        <v>280</v>
      </c>
      <c r="E9">
        <v>111</v>
      </c>
      <c r="F9" s="28">
        <v>28382</v>
      </c>
      <c r="G9">
        <v>165</v>
      </c>
      <c r="H9">
        <v>65</v>
      </c>
      <c r="I9">
        <v>1</v>
      </c>
      <c r="J9">
        <v>52</v>
      </c>
      <c r="K9">
        <v>1.4</v>
      </c>
      <c r="L9">
        <v>73.7</v>
      </c>
    </row>
    <row r="10" spans="1:14" x14ac:dyDescent="0.3">
      <c r="A10">
        <v>1</v>
      </c>
      <c r="B10" t="s">
        <v>645</v>
      </c>
      <c r="C10" t="s">
        <v>266</v>
      </c>
      <c r="D10" t="s">
        <v>278</v>
      </c>
      <c r="E10">
        <v>101</v>
      </c>
      <c r="F10" s="28">
        <v>28403</v>
      </c>
      <c r="G10">
        <v>154</v>
      </c>
      <c r="H10" s="141">
        <v>56</v>
      </c>
      <c r="I10" s="141">
        <v>0</v>
      </c>
      <c r="J10" s="141">
        <v>34</v>
      </c>
      <c r="K10" s="141">
        <v>1.1000000000000001</v>
      </c>
      <c r="L10" s="141">
        <v>54.6</v>
      </c>
    </row>
    <row r="11" spans="1:14" x14ac:dyDescent="0.3">
      <c r="A11">
        <v>0</v>
      </c>
      <c r="B11" t="s">
        <v>261</v>
      </c>
      <c r="C11" t="s">
        <v>273</v>
      </c>
      <c r="D11" t="s">
        <v>277</v>
      </c>
      <c r="E11">
        <v>111</v>
      </c>
      <c r="F11" s="28">
        <v>28624</v>
      </c>
      <c r="G11">
        <v>185</v>
      </c>
      <c r="H11" s="141">
        <v>76</v>
      </c>
      <c r="I11">
        <v>1</v>
      </c>
      <c r="J11">
        <v>44</v>
      </c>
      <c r="K11">
        <v>1.5</v>
      </c>
      <c r="L11">
        <v>46.4</v>
      </c>
    </row>
    <row r="12" spans="1:14" x14ac:dyDescent="0.3">
      <c r="A12">
        <v>0</v>
      </c>
      <c r="B12" t="s">
        <v>635</v>
      </c>
      <c r="C12" t="s">
        <v>642</v>
      </c>
      <c r="D12" t="s">
        <v>278</v>
      </c>
      <c r="E12">
        <v>211</v>
      </c>
      <c r="F12" s="28">
        <v>28527</v>
      </c>
      <c r="G12">
        <v>168</v>
      </c>
      <c r="H12">
        <v>86</v>
      </c>
      <c r="I12">
        <v>0</v>
      </c>
      <c r="J12">
        <v>31</v>
      </c>
      <c r="K12">
        <v>1.5</v>
      </c>
      <c r="L12">
        <v>40.299999999999997</v>
      </c>
    </row>
    <row r="13" spans="1:14" x14ac:dyDescent="0.3">
      <c r="A13">
        <v>0</v>
      </c>
      <c r="B13" t="s">
        <v>626</v>
      </c>
      <c r="C13" t="s">
        <v>416</v>
      </c>
      <c r="D13" t="s">
        <v>281</v>
      </c>
      <c r="E13">
        <v>311</v>
      </c>
      <c r="F13" s="28">
        <v>28697</v>
      </c>
      <c r="G13">
        <v>182</v>
      </c>
      <c r="H13" s="141">
        <v>54</v>
      </c>
      <c r="I13">
        <v>1</v>
      </c>
      <c r="J13">
        <v>64</v>
      </c>
      <c r="K13">
        <v>1.1000000000000001</v>
      </c>
      <c r="L13">
        <v>83.2</v>
      </c>
    </row>
    <row r="14" spans="1:14" x14ac:dyDescent="0.3">
      <c r="A14">
        <v>1</v>
      </c>
      <c r="B14" t="s">
        <v>254</v>
      </c>
      <c r="C14" t="s">
        <v>266</v>
      </c>
      <c r="D14" t="s">
        <v>279</v>
      </c>
      <c r="E14">
        <v>111</v>
      </c>
      <c r="F14" s="28">
        <v>28564</v>
      </c>
      <c r="G14">
        <v>182</v>
      </c>
      <c r="H14" s="141">
        <v>76</v>
      </c>
      <c r="I14">
        <v>0</v>
      </c>
      <c r="J14">
        <v>22</v>
      </c>
      <c r="K14">
        <v>1.2</v>
      </c>
      <c r="L14">
        <v>72.8</v>
      </c>
    </row>
    <row r="15" spans="1:14" x14ac:dyDescent="0.3">
      <c r="A15">
        <v>0</v>
      </c>
      <c r="B15" t="s">
        <v>255</v>
      </c>
      <c r="C15" t="s">
        <v>265</v>
      </c>
      <c r="D15" t="s">
        <v>278</v>
      </c>
      <c r="E15">
        <v>211</v>
      </c>
      <c r="F15" s="28">
        <v>28527</v>
      </c>
      <c r="G15">
        <v>172</v>
      </c>
      <c r="H15">
        <v>86</v>
      </c>
      <c r="I15">
        <v>0</v>
      </c>
      <c r="J15">
        <v>31</v>
      </c>
      <c r="K15">
        <v>1.5</v>
      </c>
      <c r="L15">
        <v>40.299999999999997</v>
      </c>
    </row>
    <row r="16" spans="1:14" x14ac:dyDescent="0.3">
      <c r="A16">
        <v>0</v>
      </c>
      <c r="B16" t="s">
        <v>262</v>
      </c>
      <c r="C16" t="s">
        <v>274</v>
      </c>
      <c r="D16" t="s">
        <v>276</v>
      </c>
      <c r="E16">
        <v>111</v>
      </c>
      <c r="F16" s="28">
        <v>29103</v>
      </c>
      <c r="G16">
        <v>180</v>
      </c>
      <c r="H16" s="141">
        <v>80</v>
      </c>
      <c r="I16">
        <v>0</v>
      </c>
      <c r="J16">
        <v>29</v>
      </c>
      <c r="K16">
        <v>1.3</v>
      </c>
      <c r="L16">
        <v>54</v>
      </c>
    </row>
    <row r="17" spans="1:12" x14ac:dyDescent="0.3">
      <c r="A17">
        <v>1</v>
      </c>
      <c r="B17" t="s">
        <v>646</v>
      </c>
      <c r="C17" t="s">
        <v>550</v>
      </c>
      <c r="D17" t="s">
        <v>279</v>
      </c>
      <c r="E17">
        <v>201</v>
      </c>
      <c r="F17" s="28">
        <v>28743</v>
      </c>
      <c r="G17">
        <v>156</v>
      </c>
      <c r="H17" s="141">
        <v>51</v>
      </c>
      <c r="I17" s="141">
        <v>0</v>
      </c>
      <c r="J17" s="141">
        <v>56</v>
      </c>
      <c r="K17" s="141">
        <v>1.2</v>
      </c>
      <c r="L17" s="141">
        <v>74.2</v>
      </c>
    </row>
    <row r="18" spans="1:12" x14ac:dyDescent="0.3">
      <c r="A18">
        <v>1</v>
      </c>
      <c r="B18" t="s">
        <v>629</v>
      </c>
      <c r="C18" t="s">
        <v>269</v>
      </c>
      <c r="D18" t="s">
        <v>278</v>
      </c>
      <c r="E18">
        <v>311</v>
      </c>
      <c r="F18" s="28">
        <v>28197</v>
      </c>
      <c r="G18">
        <v>182</v>
      </c>
      <c r="H18" s="141">
        <v>55</v>
      </c>
      <c r="I18">
        <v>1</v>
      </c>
      <c r="J18">
        <v>36</v>
      </c>
      <c r="K18">
        <v>1.5</v>
      </c>
      <c r="L18">
        <v>61.6</v>
      </c>
    </row>
    <row r="19" spans="1:12" x14ac:dyDescent="0.3">
      <c r="A19">
        <v>1</v>
      </c>
      <c r="B19" t="s">
        <v>260</v>
      </c>
      <c r="C19" t="s">
        <v>272</v>
      </c>
      <c r="D19" t="s">
        <v>278</v>
      </c>
      <c r="E19">
        <v>311</v>
      </c>
      <c r="F19" s="28">
        <v>28197</v>
      </c>
      <c r="G19">
        <v>182</v>
      </c>
      <c r="H19" s="141">
        <v>55</v>
      </c>
      <c r="I19">
        <v>1</v>
      </c>
      <c r="J19">
        <v>36</v>
      </c>
      <c r="K19">
        <v>1.5</v>
      </c>
      <c r="L19">
        <v>61.6</v>
      </c>
    </row>
    <row r="20" spans="1:12" x14ac:dyDescent="0.3">
      <c r="A20">
        <v>0</v>
      </c>
      <c r="B20" t="s">
        <v>648</v>
      </c>
      <c r="C20" t="s">
        <v>650</v>
      </c>
      <c r="D20" t="s">
        <v>276</v>
      </c>
      <c r="E20">
        <v>211</v>
      </c>
      <c r="F20" s="28">
        <v>27496</v>
      </c>
      <c r="G20">
        <v>178</v>
      </c>
      <c r="H20" s="141">
        <v>69</v>
      </c>
      <c r="I20" s="141">
        <v>1</v>
      </c>
      <c r="J20" s="141">
        <v>45</v>
      </c>
      <c r="K20" s="141">
        <v>1.4</v>
      </c>
      <c r="L20" s="141">
        <v>68.2</v>
      </c>
    </row>
    <row r="21" spans="1:12" x14ac:dyDescent="0.3">
      <c r="A21">
        <v>1</v>
      </c>
      <c r="B21" t="s">
        <v>252</v>
      </c>
      <c r="C21" t="s">
        <v>195</v>
      </c>
      <c r="D21" t="s">
        <v>276</v>
      </c>
      <c r="E21">
        <v>111</v>
      </c>
      <c r="F21" s="28">
        <v>26879</v>
      </c>
      <c r="G21">
        <v>185</v>
      </c>
      <c r="H21">
        <v>75</v>
      </c>
      <c r="I21">
        <v>0</v>
      </c>
      <c r="J21">
        <v>36</v>
      </c>
      <c r="K21">
        <v>1.2</v>
      </c>
      <c r="L21">
        <v>43.2</v>
      </c>
    </row>
    <row r="22" spans="1:12" x14ac:dyDescent="0.3">
      <c r="A22">
        <v>0</v>
      </c>
      <c r="B22" t="s">
        <v>647</v>
      </c>
      <c r="C22" t="s">
        <v>267</v>
      </c>
      <c r="D22" t="s">
        <v>278</v>
      </c>
      <c r="E22">
        <v>111</v>
      </c>
      <c r="F22" s="28">
        <v>28614</v>
      </c>
      <c r="G22">
        <v>185</v>
      </c>
      <c r="H22" s="141">
        <v>78</v>
      </c>
      <c r="I22" s="141">
        <v>0</v>
      </c>
      <c r="J22" s="141">
        <v>34</v>
      </c>
      <c r="K22" s="141">
        <v>1.3</v>
      </c>
      <c r="L22" s="141">
        <v>35.4</v>
      </c>
    </row>
    <row r="23" spans="1:12" x14ac:dyDescent="0.3">
      <c r="A23">
        <v>0</v>
      </c>
      <c r="B23" t="s">
        <v>259</v>
      </c>
      <c r="C23" t="s">
        <v>271</v>
      </c>
      <c r="D23" t="s">
        <v>279</v>
      </c>
      <c r="E23">
        <v>211</v>
      </c>
      <c r="F23" s="28">
        <v>28725</v>
      </c>
      <c r="G23">
        <v>174</v>
      </c>
      <c r="H23">
        <v>56</v>
      </c>
      <c r="I23">
        <v>0</v>
      </c>
      <c r="J23">
        <v>66</v>
      </c>
      <c r="K23">
        <v>1.4</v>
      </c>
      <c r="L23">
        <v>46.9</v>
      </c>
    </row>
    <row r="24" spans="1:12" x14ac:dyDescent="0.3">
      <c r="A24">
        <v>1</v>
      </c>
      <c r="B24" t="s">
        <v>649</v>
      </c>
      <c r="C24" t="s">
        <v>651</v>
      </c>
      <c r="D24" t="s">
        <v>281</v>
      </c>
      <c r="E24">
        <v>101</v>
      </c>
      <c r="F24" s="28">
        <v>28271</v>
      </c>
      <c r="G24">
        <v>152</v>
      </c>
      <c r="H24" s="141">
        <v>65</v>
      </c>
      <c r="I24" s="141">
        <v>1</v>
      </c>
      <c r="J24" s="141">
        <v>29</v>
      </c>
      <c r="K24" s="141">
        <v>1.2</v>
      </c>
      <c r="L24" s="141">
        <v>41.9</v>
      </c>
    </row>
    <row r="25" spans="1:12" x14ac:dyDescent="0.3">
      <c r="A25">
        <v>0</v>
      </c>
      <c r="B25" t="s">
        <v>633</v>
      </c>
      <c r="C25" t="s">
        <v>640</v>
      </c>
      <c r="D25" t="s">
        <v>277</v>
      </c>
      <c r="E25">
        <v>101</v>
      </c>
      <c r="F25" s="28">
        <v>28160</v>
      </c>
      <c r="G25">
        <v>179</v>
      </c>
      <c r="H25" s="141">
        <v>78</v>
      </c>
      <c r="I25">
        <v>1</v>
      </c>
      <c r="J25">
        <v>36</v>
      </c>
      <c r="K25">
        <v>1.4</v>
      </c>
      <c r="L25">
        <v>54.2</v>
      </c>
    </row>
    <row r="26" spans="1:12" x14ac:dyDescent="0.3">
      <c r="A26">
        <v>0</v>
      </c>
      <c r="B26" t="s">
        <v>632</v>
      </c>
      <c r="C26" t="s">
        <v>268</v>
      </c>
      <c r="D26" t="s">
        <v>276</v>
      </c>
      <c r="E26">
        <v>111</v>
      </c>
      <c r="F26" s="28">
        <v>29103</v>
      </c>
      <c r="G26">
        <v>180</v>
      </c>
      <c r="H26" s="141">
        <v>80</v>
      </c>
      <c r="I26">
        <v>0</v>
      </c>
      <c r="J26">
        <v>29</v>
      </c>
      <c r="K26">
        <v>1.3</v>
      </c>
      <c r="L26">
        <v>54</v>
      </c>
    </row>
    <row r="27" spans="1:12" x14ac:dyDescent="0.3">
      <c r="A27">
        <v>0</v>
      </c>
      <c r="B27" t="s">
        <v>630</v>
      </c>
      <c r="C27" t="s">
        <v>638</v>
      </c>
      <c r="D27" t="s">
        <v>277</v>
      </c>
      <c r="E27">
        <v>201</v>
      </c>
      <c r="F27" s="28">
        <v>26912</v>
      </c>
      <c r="G27">
        <v>180</v>
      </c>
      <c r="H27" s="141">
        <v>78</v>
      </c>
      <c r="I27">
        <v>1</v>
      </c>
      <c r="J27">
        <v>45</v>
      </c>
      <c r="K27">
        <v>1.4</v>
      </c>
      <c r="L27">
        <v>67.5</v>
      </c>
    </row>
    <row r="28" spans="1:12" x14ac:dyDescent="0.3">
      <c r="A28">
        <v>1</v>
      </c>
      <c r="B28" t="s">
        <v>257</v>
      </c>
      <c r="C28" t="s">
        <v>269</v>
      </c>
      <c r="D28" t="s">
        <v>276</v>
      </c>
      <c r="E28">
        <v>201</v>
      </c>
      <c r="F28" s="28">
        <v>28397</v>
      </c>
      <c r="G28">
        <v>180</v>
      </c>
      <c r="H28" s="141">
        <v>78</v>
      </c>
      <c r="I28">
        <v>0</v>
      </c>
      <c r="J28">
        <v>36</v>
      </c>
      <c r="K28">
        <v>1.6</v>
      </c>
      <c r="L28">
        <v>105</v>
      </c>
    </row>
    <row r="29" spans="1:12" x14ac:dyDescent="0.3">
      <c r="A29">
        <v>0</v>
      </c>
      <c r="B29" t="s">
        <v>636</v>
      </c>
      <c r="C29" t="s">
        <v>643</v>
      </c>
      <c r="D29" t="s">
        <v>279</v>
      </c>
      <c r="E29">
        <v>211</v>
      </c>
      <c r="F29" s="28">
        <v>28725</v>
      </c>
      <c r="G29">
        <v>170</v>
      </c>
      <c r="H29">
        <v>56</v>
      </c>
      <c r="I29">
        <v>0</v>
      </c>
      <c r="J29">
        <v>66</v>
      </c>
      <c r="K29">
        <v>1.4</v>
      </c>
      <c r="L29">
        <v>46.9</v>
      </c>
    </row>
    <row r="30" spans="1:12" x14ac:dyDescent="0.3">
      <c r="A30">
        <v>0</v>
      </c>
      <c r="B30" t="s">
        <v>634</v>
      </c>
      <c r="C30" t="s">
        <v>641</v>
      </c>
      <c r="D30" t="s">
        <v>277</v>
      </c>
      <c r="E30">
        <v>211</v>
      </c>
      <c r="F30" s="28">
        <v>28622</v>
      </c>
      <c r="G30">
        <v>175</v>
      </c>
      <c r="H30" s="141">
        <v>68</v>
      </c>
      <c r="I30">
        <v>0</v>
      </c>
      <c r="J30">
        <v>75</v>
      </c>
      <c r="K30">
        <v>1.3</v>
      </c>
      <c r="L30">
        <v>79.2</v>
      </c>
    </row>
    <row r="31" spans="1:12" x14ac:dyDescent="0.3">
      <c r="A31">
        <v>1</v>
      </c>
      <c r="B31" t="s">
        <v>627</v>
      </c>
      <c r="C31" t="s">
        <v>628</v>
      </c>
      <c r="D31" t="s">
        <v>622</v>
      </c>
      <c r="E31">
        <v>101</v>
      </c>
      <c r="F31" s="28">
        <v>27895</v>
      </c>
      <c r="G31">
        <v>178</v>
      </c>
      <c r="H31" s="141">
        <v>72</v>
      </c>
      <c r="I31" s="141">
        <v>1</v>
      </c>
      <c r="J31" s="141">
        <v>30</v>
      </c>
      <c r="K31" s="141">
        <v>1.5</v>
      </c>
      <c r="L31" s="141">
        <v>70.400000000000006</v>
      </c>
    </row>
    <row r="32" spans="1:12" x14ac:dyDescent="0.3">
      <c r="A32">
        <v>0</v>
      </c>
      <c r="B32" t="s">
        <v>263</v>
      </c>
      <c r="C32" t="s">
        <v>275</v>
      </c>
      <c r="D32" t="s">
        <v>277</v>
      </c>
      <c r="E32">
        <v>101</v>
      </c>
      <c r="F32" s="28">
        <v>28160</v>
      </c>
      <c r="G32">
        <v>179</v>
      </c>
      <c r="H32" s="141">
        <v>78</v>
      </c>
      <c r="I32">
        <v>1</v>
      </c>
      <c r="J32">
        <v>36</v>
      </c>
      <c r="K32">
        <v>1.4</v>
      </c>
      <c r="L32">
        <v>54.2</v>
      </c>
    </row>
    <row r="33" spans="1:14" x14ac:dyDescent="0.3">
      <c r="A33">
        <v>1</v>
      </c>
      <c r="B33" t="s">
        <v>655</v>
      </c>
      <c r="C33" t="s">
        <v>195</v>
      </c>
      <c r="D33" t="s">
        <v>277</v>
      </c>
      <c r="E33">
        <v>111</v>
      </c>
      <c r="F33" s="28">
        <v>26879</v>
      </c>
      <c r="G33">
        <v>185</v>
      </c>
      <c r="H33">
        <v>75</v>
      </c>
      <c r="I33">
        <v>0</v>
      </c>
      <c r="J33">
        <v>36</v>
      </c>
      <c r="K33">
        <v>1.2</v>
      </c>
      <c r="L33">
        <v>43.2</v>
      </c>
    </row>
    <row r="34" spans="1:14" x14ac:dyDescent="0.3">
      <c r="A34">
        <v>1</v>
      </c>
      <c r="B34" t="s">
        <v>656</v>
      </c>
      <c r="C34" t="s">
        <v>423</v>
      </c>
      <c r="D34" t="s">
        <v>277</v>
      </c>
      <c r="E34">
        <v>111</v>
      </c>
      <c r="F34" s="28">
        <v>28614</v>
      </c>
      <c r="G34">
        <v>185</v>
      </c>
      <c r="H34" s="141">
        <v>78</v>
      </c>
      <c r="I34" s="141">
        <v>0</v>
      </c>
      <c r="J34" s="141">
        <v>34</v>
      </c>
      <c r="K34" s="141">
        <v>1.3</v>
      </c>
      <c r="L34" s="141">
        <v>35.4</v>
      </c>
    </row>
    <row r="35" spans="1:14" x14ac:dyDescent="0.3">
      <c r="A35">
        <v>1</v>
      </c>
      <c r="B35" t="s">
        <v>657</v>
      </c>
      <c r="C35" t="s">
        <v>195</v>
      </c>
      <c r="D35" t="s">
        <v>277</v>
      </c>
      <c r="E35">
        <v>211</v>
      </c>
      <c r="F35" s="28">
        <v>28725</v>
      </c>
      <c r="G35">
        <v>174</v>
      </c>
      <c r="H35">
        <v>56</v>
      </c>
      <c r="I35">
        <v>0</v>
      </c>
      <c r="J35">
        <v>66</v>
      </c>
      <c r="K35">
        <v>1.4</v>
      </c>
      <c r="L35">
        <v>46.9</v>
      </c>
    </row>
    <row r="36" spans="1:14" x14ac:dyDescent="0.3">
      <c r="A36">
        <v>1</v>
      </c>
      <c r="B36" t="s">
        <v>658</v>
      </c>
      <c r="C36" t="s">
        <v>651</v>
      </c>
      <c r="D36" t="s">
        <v>277</v>
      </c>
      <c r="E36">
        <v>101</v>
      </c>
      <c r="F36" s="28">
        <v>28271</v>
      </c>
      <c r="G36">
        <v>152</v>
      </c>
      <c r="H36" s="141">
        <v>65</v>
      </c>
      <c r="I36" s="141">
        <v>1</v>
      </c>
      <c r="J36" s="141">
        <v>29</v>
      </c>
      <c r="K36" s="141">
        <v>1.2</v>
      </c>
      <c r="L36" s="141">
        <v>41.9</v>
      </c>
    </row>
    <row r="37" spans="1:14" x14ac:dyDescent="0.3">
      <c r="A37">
        <v>1</v>
      </c>
      <c r="B37" t="s">
        <v>659</v>
      </c>
      <c r="C37" t="s">
        <v>660</v>
      </c>
      <c r="D37" t="s">
        <v>277</v>
      </c>
      <c r="E37">
        <v>101</v>
      </c>
      <c r="F37" s="28">
        <v>28160</v>
      </c>
      <c r="G37">
        <v>179</v>
      </c>
      <c r="H37" s="141">
        <v>78</v>
      </c>
      <c r="I37">
        <v>1</v>
      </c>
      <c r="J37">
        <v>36</v>
      </c>
      <c r="K37">
        <v>1.4</v>
      </c>
      <c r="L37">
        <v>54.2</v>
      </c>
    </row>
    <row r="38" spans="1:14" x14ac:dyDescent="0.3">
      <c r="A38">
        <v>1</v>
      </c>
      <c r="B38" t="s">
        <v>661</v>
      </c>
      <c r="C38" t="s">
        <v>464</v>
      </c>
      <c r="D38" t="s">
        <v>277</v>
      </c>
      <c r="E38">
        <v>111</v>
      </c>
      <c r="F38" s="28">
        <v>29103</v>
      </c>
      <c r="G38">
        <v>180</v>
      </c>
      <c r="H38" s="141">
        <v>80</v>
      </c>
      <c r="I38">
        <v>0</v>
      </c>
      <c r="J38">
        <v>29</v>
      </c>
      <c r="K38">
        <v>1.3</v>
      </c>
      <c r="L38">
        <v>54</v>
      </c>
    </row>
    <row r="39" spans="1:14" x14ac:dyDescent="0.3">
      <c r="A39">
        <v>0</v>
      </c>
      <c r="B39" t="s">
        <v>662</v>
      </c>
      <c r="C39" t="s">
        <v>458</v>
      </c>
      <c r="D39" t="s">
        <v>277</v>
      </c>
      <c r="E39">
        <v>201</v>
      </c>
      <c r="F39" s="28">
        <v>26912</v>
      </c>
      <c r="G39">
        <v>180</v>
      </c>
      <c r="H39" s="141">
        <v>78</v>
      </c>
      <c r="I39">
        <v>1</v>
      </c>
      <c r="J39">
        <v>45</v>
      </c>
      <c r="K39">
        <v>1.4</v>
      </c>
      <c r="L39">
        <v>67.5</v>
      </c>
    </row>
    <row r="40" spans="1:14" x14ac:dyDescent="0.3">
      <c r="A40">
        <v>1</v>
      </c>
      <c r="B40" t="s">
        <v>663</v>
      </c>
      <c r="C40" t="s">
        <v>269</v>
      </c>
      <c r="D40" t="s">
        <v>276</v>
      </c>
      <c r="E40">
        <v>201</v>
      </c>
      <c r="F40" s="28">
        <v>28397</v>
      </c>
      <c r="G40">
        <v>180</v>
      </c>
      <c r="H40" s="141">
        <v>78</v>
      </c>
      <c r="I40">
        <v>0</v>
      </c>
      <c r="J40">
        <v>36</v>
      </c>
      <c r="K40">
        <v>1.6</v>
      </c>
      <c r="L40">
        <v>105</v>
      </c>
    </row>
    <row r="42" spans="1:14" x14ac:dyDescent="0.3">
      <c r="A42" t="s">
        <v>287</v>
      </c>
      <c r="D42">
        <f>DAVERAGE(A3:L40,G3,B45:C46)</f>
        <v>181.25</v>
      </c>
      <c r="G42" t="s">
        <v>680</v>
      </c>
      <c r="K42" s="56">
        <f>DAVERAGE(A3:L40,H3,J45:K47)</f>
        <v>75.545454545454547</v>
      </c>
    </row>
    <row r="43" spans="1:14" x14ac:dyDescent="0.3">
      <c r="A43" t="s">
        <v>288</v>
      </c>
      <c r="D43">
        <f>DMIN(A3:L40,8,B48:C49)</f>
        <v>68</v>
      </c>
      <c r="G43" t="s">
        <v>681</v>
      </c>
      <c r="K43">
        <f>DMAX(A3:L40,H3,M45:N46)</f>
        <v>80</v>
      </c>
    </row>
    <row r="44" spans="1:14" x14ac:dyDescent="0.3">
      <c r="A44" t="s">
        <v>679</v>
      </c>
      <c r="D44" s="56">
        <f>DAVERAGE(A3:L40,H3,B45:C46)</f>
        <v>77.25</v>
      </c>
      <c r="G44" t="s">
        <v>682</v>
      </c>
    </row>
    <row r="45" spans="1:14" x14ac:dyDescent="0.3">
      <c r="B45" s="155" t="s">
        <v>243</v>
      </c>
      <c r="C45" s="155" t="s">
        <v>245</v>
      </c>
      <c r="F45" s="155" t="s">
        <v>243</v>
      </c>
      <c r="G45" s="155" t="s">
        <v>245</v>
      </c>
      <c r="J45" s="155" t="s">
        <v>243</v>
      </c>
      <c r="K45" s="155" t="s">
        <v>245</v>
      </c>
      <c r="M45" s="155" t="s">
        <v>243</v>
      </c>
      <c r="N45" s="155" t="s">
        <v>245</v>
      </c>
    </row>
    <row r="46" spans="1:14" x14ac:dyDescent="0.3">
      <c r="B46" s="155">
        <v>1</v>
      </c>
      <c r="C46" s="155" t="s">
        <v>276</v>
      </c>
      <c r="F46" s="155">
        <v>1</v>
      </c>
      <c r="G46" s="155" t="s">
        <v>276</v>
      </c>
      <c r="J46" s="155">
        <v>0</v>
      </c>
      <c r="K46" s="155" t="s">
        <v>276</v>
      </c>
      <c r="M46" s="155">
        <v>1</v>
      </c>
      <c r="N46" s="155" t="s">
        <v>277</v>
      </c>
    </row>
    <row r="47" spans="1:14" x14ac:dyDescent="0.3">
      <c r="F47" s="155">
        <v>1</v>
      </c>
      <c r="G47" s="155" t="s">
        <v>277</v>
      </c>
      <c r="J47" s="155">
        <v>0</v>
      </c>
      <c r="K47" s="155" t="s">
        <v>277</v>
      </c>
    </row>
    <row r="48" spans="1:14" x14ac:dyDescent="0.3">
      <c r="B48" s="155" t="s">
        <v>243</v>
      </c>
      <c r="C48" s="155" t="s">
        <v>245</v>
      </c>
    </row>
    <row r="49" spans="2:3" x14ac:dyDescent="0.3">
      <c r="B49" s="155">
        <v>0</v>
      </c>
      <c r="C49" s="155" t="s">
        <v>277</v>
      </c>
    </row>
    <row r="72" spans="1:12" ht="15" thickBot="1" x14ac:dyDescent="0.35">
      <c r="A72" s="58" t="s">
        <v>243</v>
      </c>
      <c r="B72" s="58" t="s">
        <v>178</v>
      </c>
      <c r="C72" s="58" t="s">
        <v>244</v>
      </c>
      <c r="D72" s="58" t="s">
        <v>245</v>
      </c>
      <c r="E72" s="58" t="s">
        <v>246</v>
      </c>
      <c r="F72" s="58" t="s">
        <v>1</v>
      </c>
      <c r="G72" s="58" t="s">
        <v>247</v>
      </c>
      <c r="H72" s="58" t="s">
        <v>248</v>
      </c>
      <c r="I72" s="58" t="s">
        <v>249</v>
      </c>
      <c r="J72" s="58" t="s">
        <v>250</v>
      </c>
      <c r="K72" s="58" t="s">
        <v>282</v>
      </c>
      <c r="L72" s="58" t="s">
        <v>251</v>
      </c>
    </row>
    <row r="73" spans="1:12" x14ac:dyDescent="0.3">
      <c r="A73">
        <v>1</v>
      </c>
      <c r="B73" t="s">
        <v>631</v>
      </c>
      <c r="C73" t="s">
        <v>639</v>
      </c>
      <c r="D73" t="s">
        <v>276</v>
      </c>
      <c r="E73">
        <v>201</v>
      </c>
      <c r="F73" s="28">
        <v>28397</v>
      </c>
      <c r="G73">
        <v>180</v>
      </c>
      <c r="H73" s="141">
        <v>78</v>
      </c>
      <c r="I73">
        <v>0</v>
      </c>
      <c r="J73">
        <v>36</v>
      </c>
      <c r="K73">
        <v>1.6</v>
      </c>
      <c r="L73">
        <v>105</v>
      </c>
    </row>
    <row r="74" spans="1:12" x14ac:dyDescent="0.3">
      <c r="A74">
        <v>1</v>
      </c>
      <c r="B74" t="s">
        <v>252</v>
      </c>
      <c r="C74" t="s">
        <v>195</v>
      </c>
      <c r="D74" t="s">
        <v>276</v>
      </c>
      <c r="E74">
        <v>111</v>
      </c>
      <c r="F74" s="28">
        <v>26879</v>
      </c>
      <c r="G74">
        <v>185</v>
      </c>
      <c r="H74">
        <v>75</v>
      </c>
      <c r="I74">
        <v>0</v>
      </c>
      <c r="J74">
        <v>36</v>
      </c>
      <c r="K74">
        <v>1.2</v>
      </c>
      <c r="L74">
        <v>43.2</v>
      </c>
    </row>
    <row r="75" spans="1:12" x14ac:dyDescent="0.3">
      <c r="A75">
        <v>1</v>
      </c>
      <c r="B75" t="s">
        <v>257</v>
      </c>
      <c r="C75" t="s">
        <v>269</v>
      </c>
      <c r="D75" t="s">
        <v>276</v>
      </c>
      <c r="E75">
        <v>201</v>
      </c>
      <c r="F75" s="28">
        <v>28397</v>
      </c>
      <c r="G75">
        <v>180</v>
      </c>
      <c r="H75" s="141">
        <v>78</v>
      </c>
      <c r="I75">
        <v>0</v>
      </c>
      <c r="J75">
        <v>36</v>
      </c>
      <c r="K75">
        <v>1.6</v>
      </c>
      <c r="L75">
        <v>105</v>
      </c>
    </row>
    <row r="76" spans="1:12" x14ac:dyDescent="0.3">
      <c r="A76">
        <v>1</v>
      </c>
      <c r="B76" t="s">
        <v>655</v>
      </c>
      <c r="C76" t="s">
        <v>195</v>
      </c>
      <c r="D76" t="s">
        <v>277</v>
      </c>
      <c r="E76">
        <v>111</v>
      </c>
      <c r="F76" s="28">
        <v>26879</v>
      </c>
      <c r="G76">
        <v>185</v>
      </c>
      <c r="H76">
        <v>75</v>
      </c>
      <c r="I76">
        <v>0</v>
      </c>
      <c r="J76">
        <v>36</v>
      </c>
      <c r="K76">
        <v>1.2</v>
      </c>
      <c r="L76">
        <v>43.2</v>
      </c>
    </row>
    <row r="77" spans="1:12" x14ac:dyDescent="0.3">
      <c r="A77">
        <v>1</v>
      </c>
      <c r="B77" t="s">
        <v>656</v>
      </c>
      <c r="C77" t="s">
        <v>423</v>
      </c>
      <c r="D77" t="s">
        <v>277</v>
      </c>
      <c r="E77">
        <v>111</v>
      </c>
      <c r="F77" s="28">
        <v>28614</v>
      </c>
      <c r="G77">
        <v>185</v>
      </c>
      <c r="H77" s="141">
        <v>78</v>
      </c>
      <c r="I77" s="141">
        <v>0</v>
      </c>
      <c r="J77" s="141">
        <v>34</v>
      </c>
      <c r="K77" s="141">
        <v>1.3</v>
      </c>
      <c r="L77" s="141">
        <v>35.4</v>
      </c>
    </row>
    <row r="78" spans="1:12" x14ac:dyDescent="0.3">
      <c r="A78">
        <v>1</v>
      </c>
      <c r="B78" t="s">
        <v>657</v>
      </c>
      <c r="C78" t="s">
        <v>195</v>
      </c>
      <c r="D78" t="s">
        <v>277</v>
      </c>
      <c r="E78">
        <v>211</v>
      </c>
      <c r="F78" s="28">
        <v>28725</v>
      </c>
      <c r="G78">
        <v>174</v>
      </c>
      <c r="H78">
        <v>56</v>
      </c>
      <c r="I78">
        <v>0</v>
      </c>
      <c r="J78">
        <v>66</v>
      </c>
      <c r="K78">
        <v>1.4</v>
      </c>
      <c r="L78">
        <v>46.9</v>
      </c>
    </row>
    <row r="79" spans="1:12" x14ac:dyDescent="0.3">
      <c r="A79">
        <v>1</v>
      </c>
      <c r="B79" t="s">
        <v>658</v>
      </c>
      <c r="C79" t="s">
        <v>651</v>
      </c>
      <c r="D79" t="s">
        <v>277</v>
      </c>
      <c r="E79">
        <v>101</v>
      </c>
      <c r="F79" s="28">
        <v>28271</v>
      </c>
      <c r="G79">
        <v>152</v>
      </c>
      <c r="H79" s="141">
        <v>65</v>
      </c>
      <c r="I79" s="141">
        <v>1</v>
      </c>
      <c r="J79" s="141">
        <v>29</v>
      </c>
      <c r="K79" s="141">
        <v>1.2</v>
      </c>
      <c r="L79" s="141">
        <v>41.9</v>
      </c>
    </row>
    <row r="80" spans="1:12" x14ac:dyDescent="0.3">
      <c r="A80">
        <v>1</v>
      </c>
      <c r="B80" t="s">
        <v>659</v>
      </c>
      <c r="C80" t="s">
        <v>660</v>
      </c>
      <c r="D80" t="s">
        <v>277</v>
      </c>
      <c r="E80">
        <v>101</v>
      </c>
      <c r="F80" s="28">
        <v>28160</v>
      </c>
      <c r="G80">
        <v>179</v>
      </c>
      <c r="H80" s="141">
        <v>78</v>
      </c>
      <c r="I80">
        <v>1</v>
      </c>
      <c r="J80">
        <v>36</v>
      </c>
      <c r="K80">
        <v>1.4</v>
      </c>
      <c r="L80">
        <v>54.2</v>
      </c>
    </row>
    <row r="81" spans="1:12" x14ac:dyDescent="0.3">
      <c r="A81">
        <v>1</v>
      </c>
      <c r="B81" t="s">
        <v>661</v>
      </c>
      <c r="C81" t="s">
        <v>464</v>
      </c>
      <c r="D81" t="s">
        <v>277</v>
      </c>
      <c r="E81">
        <v>111</v>
      </c>
      <c r="F81" s="28">
        <v>29103</v>
      </c>
      <c r="G81">
        <v>180</v>
      </c>
      <c r="H81" s="141">
        <v>80</v>
      </c>
      <c r="I81">
        <v>0</v>
      </c>
      <c r="J81">
        <v>29</v>
      </c>
      <c r="K81">
        <v>1.3</v>
      </c>
      <c r="L81">
        <v>54</v>
      </c>
    </row>
    <row r="82" spans="1:12" x14ac:dyDescent="0.3">
      <c r="A82">
        <v>1</v>
      </c>
      <c r="B82" t="s">
        <v>663</v>
      </c>
      <c r="C82" t="s">
        <v>269</v>
      </c>
      <c r="D82" t="s">
        <v>276</v>
      </c>
      <c r="E82">
        <v>201</v>
      </c>
      <c r="F82" s="28">
        <v>28397</v>
      </c>
      <c r="G82">
        <v>180</v>
      </c>
      <c r="H82" s="141">
        <v>78</v>
      </c>
      <c r="I82">
        <v>0</v>
      </c>
      <c r="J82">
        <v>36</v>
      </c>
      <c r="K82">
        <v>1.6</v>
      </c>
      <c r="L82">
        <v>105</v>
      </c>
    </row>
    <row r="83" spans="1:12" x14ac:dyDescent="0.3">
      <c r="G83">
        <f>AVERAGE(G73:G82)</f>
        <v>178</v>
      </c>
    </row>
    <row r="84" spans="1:12" ht="15" thickBot="1" x14ac:dyDescent="0.35">
      <c r="A84" s="58" t="s">
        <v>243</v>
      </c>
      <c r="B84" s="58" t="s">
        <v>178</v>
      </c>
      <c r="C84" s="58" t="s">
        <v>244</v>
      </c>
      <c r="D84" s="58" t="s">
        <v>245</v>
      </c>
      <c r="E84" s="58" t="s">
        <v>246</v>
      </c>
      <c r="F84" s="58" t="s">
        <v>1</v>
      </c>
      <c r="G84" s="58" t="s">
        <v>247</v>
      </c>
      <c r="H84" s="58" t="s">
        <v>248</v>
      </c>
      <c r="I84" s="58" t="s">
        <v>249</v>
      </c>
      <c r="J84" s="58" t="s">
        <v>250</v>
      </c>
      <c r="K84" s="58" t="s">
        <v>282</v>
      </c>
      <c r="L84" s="58" t="s">
        <v>251</v>
      </c>
    </row>
    <row r="85" spans="1:12" x14ac:dyDescent="0.3">
      <c r="A85">
        <v>1</v>
      </c>
      <c r="B85" t="s">
        <v>631</v>
      </c>
      <c r="C85" t="s">
        <v>639</v>
      </c>
      <c r="D85" t="s">
        <v>276</v>
      </c>
      <c r="E85">
        <v>201</v>
      </c>
      <c r="F85" s="28">
        <v>28397</v>
      </c>
      <c r="G85">
        <v>180</v>
      </c>
      <c r="H85" s="141">
        <v>78</v>
      </c>
      <c r="I85">
        <v>0</v>
      </c>
      <c r="J85">
        <v>36</v>
      </c>
      <c r="K85">
        <v>1.6</v>
      </c>
      <c r="L85">
        <v>105</v>
      </c>
    </row>
    <row r="86" spans="1:12" x14ac:dyDescent="0.3">
      <c r="A86">
        <v>1</v>
      </c>
      <c r="B86" t="s">
        <v>252</v>
      </c>
      <c r="C86" t="s">
        <v>195</v>
      </c>
      <c r="D86" t="s">
        <v>276</v>
      </c>
      <c r="E86">
        <v>111</v>
      </c>
      <c r="F86" s="28">
        <v>26879</v>
      </c>
      <c r="G86">
        <v>185</v>
      </c>
      <c r="H86">
        <v>75</v>
      </c>
      <c r="I86">
        <v>0</v>
      </c>
      <c r="J86">
        <v>36</v>
      </c>
      <c r="K86">
        <v>1.2</v>
      </c>
      <c r="L86">
        <v>43.2</v>
      </c>
    </row>
    <row r="87" spans="1:12" x14ac:dyDescent="0.3">
      <c r="A87">
        <v>1</v>
      </c>
      <c r="B87" t="s">
        <v>257</v>
      </c>
      <c r="C87" t="s">
        <v>269</v>
      </c>
      <c r="D87" t="s">
        <v>276</v>
      </c>
      <c r="E87">
        <v>201</v>
      </c>
      <c r="F87" s="28">
        <v>28397</v>
      </c>
      <c r="G87">
        <v>180</v>
      </c>
      <c r="H87" s="141">
        <v>78</v>
      </c>
      <c r="I87">
        <v>0</v>
      </c>
      <c r="J87">
        <v>36</v>
      </c>
      <c r="K87">
        <v>1.6</v>
      </c>
      <c r="L87">
        <v>105</v>
      </c>
    </row>
    <row r="88" spans="1:12" x14ac:dyDescent="0.3">
      <c r="A88">
        <v>1</v>
      </c>
      <c r="B88" t="s">
        <v>663</v>
      </c>
      <c r="C88" t="s">
        <v>269</v>
      </c>
      <c r="D88" t="s">
        <v>276</v>
      </c>
      <c r="E88">
        <v>201</v>
      </c>
      <c r="F88" s="28">
        <v>28397</v>
      </c>
      <c r="G88">
        <v>180</v>
      </c>
      <c r="H88" s="141">
        <v>78</v>
      </c>
      <c r="I88">
        <v>0</v>
      </c>
      <c r="J88">
        <v>36</v>
      </c>
      <c r="K88">
        <v>1.6</v>
      </c>
      <c r="L88">
        <v>105</v>
      </c>
    </row>
    <row r="89" spans="1:12" x14ac:dyDescent="0.3">
      <c r="G89">
        <f>AVERAGE(G85:G88)</f>
        <v>181.25</v>
      </c>
      <c r="H89">
        <f>AVERAGE(H85:H88)</f>
        <v>77.25</v>
      </c>
    </row>
    <row r="91" spans="1:12" ht="15" thickBot="1" x14ac:dyDescent="0.35">
      <c r="A91" s="58" t="s">
        <v>243</v>
      </c>
      <c r="B91" s="58" t="s">
        <v>178</v>
      </c>
      <c r="C91" s="58" t="s">
        <v>244</v>
      </c>
      <c r="D91" s="58" t="s">
        <v>245</v>
      </c>
      <c r="E91" s="58" t="s">
        <v>246</v>
      </c>
      <c r="F91" s="58" t="s">
        <v>1</v>
      </c>
      <c r="G91" s="58" t="s">
        <v>247</v>
      </c>
      <c r="H91" s="58" t="s">
        <v>248</v>
      </c>
      <c r="I91" s="58" t="s">
        <v>249</v>
      </c>
      <c r="J91" s="58" t="s">
        <v>250</v>
      </c>
      <c r="K91" s="58" t="s">
        <v>282</v>
      </c>
      <c r="L91" s="58" t="s">
        <v>251</v>
      </c>
    </row>
    <row r="92" spans="1:12" x14ac:dyDescent="0.3">
      <c r="A92">
        <v>0</v>
      </c>
      <c r="B92" t="s">
        <v>253</v>
      </c>
      <c r="C92" t="s">
        <v>264</v>
      </c>
      <c r="D92" t="s">
        <v>277</v>
      </c>
      <c r="E92">
        <v>201</v>
      </c>
      <c r="F92" s="28">
        <v>26912</v>
      </c>
      <c r="G92">
        <v>180</v>
      </c>
      <c r="H92" s="141">
        <v>78</v>
      </c>
      <c r="I92">
        <v>1</v>
      </c>
      <c r="J92">
        <v>45</v>
      </c>
      <c r="K92">
        <v>1.4</v>
      </c>
      <c r="L92">
        <v>67.5</v>
      </c>
    </row>
    <row r="93" spans="1:12" x14ac:dyDescent="0.3">
      <c r="A93">
        <v>0</v>
      </c>
      <c r="B93" t="s">
        <v>258</v>
      </c>
      <c r="C93" t="s">
        <v>270</v>
      </c>
      <c r="D93" t="s">
        <v>277</v>
      </c>
      <c r="E93">
        <v>211</v>
      </c>
      <c r="F93" s="28">
        <v>28622</v>
      </c>
      <c r="G93">
        <v>176</v>
      </c>
      <c r="H93" s="141">
        <v>68</v>
      </c>
      <c r="I93">
        <v>0</v>
      </c>
      <c r="J93">
        <v>75</v>
      </c>
      <c r="K93">
        <v>1.3</v>
      </c>
      <c r="L93">
        <v>79.2</v>
      </c>
    </row>
    <row r="94" spans="1:12" x14ac:dyDescent="0.3">
      <c r="A94">
        <v>0</v>
      </c>
      <c r="B94" t="s">
        <v>261</v>
      </c>
      <c r="C94" t="s">
        <v>273</v>
      </c>
      <c r="D94" t="s">
        <v>277</v>
      </c>
      <c r="E94">
        <v>111</v>
      </c>
      <c r="F94" s="28">
        <v>28624</v>
      </c>
      <c r="G94">
        <v>185</v>
      </c>
      <c r="H94" s="141">
        <v>76</v>
      </c>
      <c r="I94">
        <v>1</v>
      </c>
      <c r="J94">
        <v>44</v>
      </c>
      <c r="K94">
        <v>1.5</v>
      </c>
      <c r="L94">
        <v>46.4</v>
      </c>
    </row>
    <row r="95" spans="1:12" x14ac:dyDescent="0.3">
      <c r="A95">
        <v>0</v>
      </c>
      <c r="B95" t="s">
        <v>633</v>
      </c>
      <c r="C95" t="s">
        <v>640</v>
      </c>
      <c r="D95" t="s">
        <v>277</v>
      </c>
      <c r="E95">
        <v>101</v>
      </c>
      <c r="F95" s="28">
        <v>28160</v>
      </c>
      <c r="G95">
        <v>179</v>
      </c>
      <c r="H95" s="141">
        <v>78</v>
      </c>
      <c r="I95">
        <v>1</v>
      </c>
      <c r="J95">
        <v>36</v>
      </c>
      <c r="K95">
        <v>1.4</v>
      </c>
      <c r="L95">
        <v>54.2</v>
      </c>
    </row>
    <row r="96" spans="1:12" x14ac:dyDescent="0.3">
      <c r="A96">
        <v>0</v>
      </c>
      <c r="B96" t="s">
        <v>630</v>
      </c>
      <c r="C96" t="s">
        <v>638</v>
      </c>
      <c r="D96" t="s">
        <v>277</v>
      </c>
      <c r="E96">
        <v>201</v>
      </c>
      <c r="F96" s="28">
        <v>26912</v>
      </c>
      <c r="G96">
        <v>180</v>
      </c>
      <c r="H96" s="141">
        <v>78</v>
      </c>
      <c r="I96">
        <v>1</v>
      </c>
      <c r="J96">
        <v>45</v>
      </c>
      <c r="K96">
        <v>1.4</v>
      </c>
      <c r="L96">
        <v>67.5</v>
      </c>
    </row>
    <row r="97" spans="1:12" x14ac:dyDescent="0.3">
      <c r="A97">
        <v>0</v>
      </c>
      <c r="B97" t="s">
        <v>634</v>
      </c>
      <c r="C97" t="s">
        <v>641</v>
      </c>
      <c r="D97" t="s">
        <v>277</v>
      </c>
      <c r="E97">
        <v>211</v>
      </c>
      <c r="F97" s="28">
        <v>28622</v>
      </c>
      <c r="G97">
        <v>175</v>
      </c>
      <c r="H97" s="141">
        <v>68</v>
      </c>
      <c r="I97">
        <v>0</v>
      </c>
      <c r="J97">
        <v>75</v>
      </c>
      <c r="K97">
        <v>1.3</v>
      </c>
      <c r="L97">
        <v>79.2</v>
      </c>
    </row>
    <row r="98" spans="1:12" x14ac:dyDescent="0.3">
      <c r="A98">
        <v>0</v>
      </c>
      <c r="B98" t="s">
        <v>263</v>
      </c>
      <c r="C98" t="s">
        <v>275</v>
      </c>
      <c r="D98" t="s">
        <v>277</v>
      </c>
      <c r="E98">
        <v>101</v>
      </c>
      <c r="F98" s="28">
        <v>28160</v>
      </c>
      <c r="G98">
        <v>179</v>
      </c>
      <c r="H98" s="141">
        <v>78</v>
      </c>
      <c r="I98">
        <v>1</v>
      </c>
      <c r="J98">
        <v>36</v>
      </c>
      <c r="K98">
        <v>1.4</v>
      </c>
      <c r="L98">
        <v>54.2</v>
      </c>
    </row>
    <row r="99" spans="1:12" x14ac:dyDescent="0.3">
      <c r="A99">
        <v>0</v>
      </c>
      <c r="B99" t="s">
        <v>662</v>
      </c>
      <c r="C99" t="s">
        <v>458</v>
      </c>
      <c r="D99" t="s">
        <v>277</v>
      </c>
      <c r="E99">
        <v>201</v>
      </c>
      <c r="F99" s="28">
        <v>26912</v>
      </c>
      <c r="G99">
        <v>180</v>
      </c>
      <c r="H99" s="141">
        <v>78</v>
      </c>
      <c r="I99">
        <v>1</v>
      </c>
      <c r="J99">
        <v>45</v>
      </c>
      <c r="K99">
        <v>1.4</v>
      </c>
      <c r="L99">
        <v>67.5</v>
      </c>
    </row>
    <row r="100" spans="1:12" x14ac:dyDescent="0.3">
      <c r="H100">
        <f>MIN(H92:H99)</f>
        <v>68</v>
      </c>
    </row>
    <row r="101" spans="1:12" x14ac:dyDescent="0.3">
      <c r="H101">
        <f>MAX(H92:H100)</f>
        <v>78</v>
      </c>
    </row>
  </sheetData>
  <dataValidations count="3">
    <dataValidation type="list" allowBlank="1" showInputMessage="1" showErrorMessage="1" sqref="E4:E40">
      <formula1>"101,111,201,211,311"</formula1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4:G40">
      <formula1>150</formula1>
      <formula2>190</formula2>
    </dataValidation>
    <dataValidation type="whole" allowBlank="1" showInputMessage="1" showErrorMessage="1" sqref="H4:H40">
      <formula1>50</formula1>
      <formula2>100</formula2>
    </dataValidation>
  </dataValidations>
  <hyperlinks>
    <hyperlink ref="N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tabColor rgb="FF92D050"/>
  </sheetPr>
  <dimension ref="A1:N32"/>
  <sheetViews>
    <sheetView topLeftCell="A28" workbookViewId="0">
      <selection activeCell="N1" sqref="N1"/>
    </sheetView>
  </sheetViews>
  <sheetFormatPr defaultRowHeight="14.4" x14ac:dyDescent="0.3"/>
  <cols>
    <col min="3" max="5" width="9.109375" customWidth="1"/>
    <col min="6" max="6" width="15.109375" customWidth="1"/>
    <col min="7" max="11" width="9.109375" customWidth="1"/>
  </cols>
  <sheetData>
    <row r="1" spans="1:14" ht="21" x14ac:dyDescent="0.4">
      <c r="A1" s="38" t="s">
        <v>289</v>
      </c>
      <c r="N1" s="182" t="s">
        <v>1148</v>
      </c>
    </row>
    <row r="3" spans="1:14" ht="15" thickBot="1" x14ac:dyDescent="0.35">
      <c r="A3" s="58" t="s">
        <v>243</v>
      </c>
      <c r="B3" s="58" t="s">
        <v>178</v>
      </c>
      <c r="C3" s="58" t="s">
        <v>244</v>
      </c>
      <c r="D3" s="58" t="s">
        <v>245</v>
      </c>
      <c r="E3" s="58" t="s">
        <v>246</v>
      </c>
      <c r="F3" s="58" t="s">
        <v>1</v>
      </c>
      <c r="G3" s="58" t="s">
        <v>247</v>
      </c>
      <c r="H3" s="58" t="s">
        <v>248</v>
      </c>
      <c r="I3" s="58" t="s">
        <v>249</v>
      </c>
      <c r="J3" s="58" t="s">
        <v>250</v>
      </c>
      <c r="K3" s="58" t="s">
        <v>282</v>
      </c>
      <c r="L3" s="58" t="s">
        <v>251</v>
      </c>
    </row>
    <row r="4" spans="1:14" x14ac:dyDescent="0.3">
      <c r="A4">
        <v>1</v>
      </c>
      <c r="B4" t="s">
        <v>627</v>
      </c>
      <c r="C4" t="s">
        <v>628</v>
      </c>
      <c r="D4" t="s">
        <v>622</v>
      </c>
      <c r="E4">
        <v>101</v>
      </c>
      <c r="F4" s="28">
        <v>27895</v>
      </c>
      <c r="G4">
        <v>178</v>
      </c>
      <c r="H4" s="141">
        <v>72</v>
      </c>
      <c r="I4" s="141">
        <v>1</v>
      </c>
      <c r="J4" s="141">
        <v>30</v>
      </c>
      <c r="K4" s="141">
        <v>1.5</v>
      </c>
      <c r="L4" s="141">
        <v>70.400000000000006</v>
      </c>
    </row>
    <row r="5" spans="1:14" x14ac:dyDescent="0.3">
      <c r="A5">
        <v>0</v>
      </c>
      <c r="B5" t="s">
        <v>633</v>
      </c>
      <c r="C5" t="s">
        <v>640</v>
      </c>
      <c r="D5" t="s">
        <v>277</v>
      </c>
      <c r="E5">
        <v>101</v>
      </c>
      <c r="F5" s="28">
        <v>28160</v>
      </c>
      <c r="G5">
        <v>179</v>
      </c>
      <c r="H5" s="141">
        <v>78</v>
      </c>
      <c r="I5">
        <v>1</v>
      </c>
      <c r="J5">
        <v>36</v>
      </c>
      <c r="K5">
        <v>1.4</v>
      </c>
      <c r="L5">
        <v>54.2</v>
      </c>
    </row>
    <row r="6" spans="1:14" x14ac:dyDescent="0.3">
      <c r="A6">
        <v>0</v>
      </c>
      <c r="B6" t="s">
        <v>263</v>
      </c>
      <c r="C6" t="s">
        <v>275</v>
      </c>
      <c r="D6" t="s">
        <v>277</v>
      </c>
      <c r="E6">
        <v>101</v>
      </c>
      <c r="F6" s="28">
        <v>28160</v>
      </c>
      <c r="G6">
        <v>179</v>
      </c>
      <c r="H6" s="141">
        <v>78</v>
      </c>
      <c r="I6">
        <v>1</v>
      </c>
      <c r="J6">
        <v>36</v>
      </c>
      <c r="K6">
        <v>1.4</v>
      </c>
      <c r="L6">
        <v>54.2</v>
      </c>
    </row>
    <row r="7" spans="1:14" x14ac:dyDescent="0.3">
      <c r="A7">
        <v>1</v>
      </c>
      <c r="B7" t="s">
        <v>649</v>
      </c>
      <c r="C7" t="s">
        <v>651</v>
      </c>
      <c r="D7" t="s">
        <v>281</v>
      </c>
      <c r="E7">
        <v>101</v>
      </c>
      <c r="F7" s="28">
        <v>28271</v>
      </c>
      <c r="G7">
        <v>152</v>
      </c>
      <c r="H7" s="141">
        <v>65</v>
      </c>
      <c r="I7" s="141">
        <v>1</v>
      </c>
      <c r="J7" s="141">
        <v>29</v>
      </c>
      <c r="K7" s="141">
        <v>1.2</v>
      </c>
      <c r="L7" s="141">
        <v>41.9</v>
      </c>
    </row>
    <row r="8" spans="1:14" x14ac:dyDescent="0.3">
      <c r="A8">
        <v>1</v>
      </c>
      <c r="B8" t="s">
        <v>645</v>
      </c>
      <c r="C8" t="s">
        <v>266</v>
      </c>
      <c r="D8" t="s">
        <v>278</v>
      </c>
      <c r="E8">
        <v>101</v>
      </c>
      <c r="F8" s="28">
        <v>28403</v>
      </c>
      <c r="G8">
        <v>154</v>
      </c>
      <c r="H8" s="141">
        <v>56</v>
      </c>
      <c r="I8" s="141">
        <v>0</v>
      </c>
      <c r="J8" s="141">
        <v>34</v>
      </c>
      <c r="K8" s="141">
        <v>1.1000000000000001</v>
      </c>
      <c r="L8" s="141">
        <v>54.6</v>
      </c>
    </row>
    <row r="9" spans="1:14" x14ac:dyDescent="0.3">
      <c r="A9">
        <v>0</v>
      </c>
      <c r="B9" t="s">
        <v>261</v>
      </c>
      <c r="C9" t="s">
        <v>273</v>
      </c>
      <c r="D9" t="s">
        <v>277</v>
      </c>
      <c r="E9">
        <v>111</v>
      </c>
      <c r="F9" s="28">
        <v>28624</v>
      </c>
      <c r="G9">
        <v>185</v>
      </c>
      <c r="H9" s="141">
        <v>76</v>
      </c>
      <c r="I9">
        <v>1</v>
      </c>
      <c r="J9">
        <v>44</v>
      </c>
      <c r="K9">
        <v>1.5</v>
      </c>
      <c r="L9">
        <v>46.4</v>
      </c>
    </row>
    <row r="10" spans="1:14" x14ac:dyDescent="0.3">
      <c r="A10">
        <v>0</v>
      </c>
      <c r="B10" t="s">
        <v>186</v>
      </c>
      <c r="C10" t="s">
        <v>267</v>
      </c>
      <c r="D10" t="s">
        <v>280</v>
      </c>
      <c r="E10">
        <v>111</v>
      </c>
      <c r="F10" s="28">
        <v>28382</v>
      </c>
      <c r="G10">
        <v>164</v>
      </c>
      <c r="H10">
        <v>65</v>
      </c>
      <c r="I10">
        <v>1</v>
      </c>
      <c r="J10">
        <v>52</v>
      </c>
      <c r="K10">
        <v>1.4</v>
      </c>
      <c r="L10">
        <v>73.7</v>
      </c>
    </row>
    <row r="11" spans="1:14" x14ac:dyDescent="0.3">
      <c r="A11">
        <v>0</v>
      </c>
      <c r="B11" t="s">
        <v>637</v>
      </c>
      <c r="C11" t="s">
        <v>644</v>
      </c>
      <c r="D11" t="s">
        <v>280</v>
      </c>
      <c r="E11">
        <v>111</v>
      </c>
      <c r="F11" s="28">
        <v>28382</v>
      </c>
      <c r="G11">
        <v>165</v>
      </c>
      <c r="H11">
        <v>65</v>
      </c>
      <c r="I11">
        <v>1</v>
      </c>
      <c r="J11">
        <v>52</v>
      </c>
      <c r="K11">
        <v>1.4</v>
      </c>
      <c r="L11">
        <v>73.7</v>
      </c>
    </row>
    <row r="12" spans="1:14" x14ac:dyDescent="0.3">
      <c r="A12">
        <v>1</v>
      </c>
      <c r="B12" t="s">
        <v>254</v>
      </c>
      <c r="C12" t="s">
        <v>266</v>
      </c>
      <c r="D12" t="s">
        <v>279</v>
      </c>
      <c r="E12">
        <v>111</v>
      </c>
      <c r="F12" s="28">
        <v>28564</v>
      </c>
      <c r="G12">
        <v>182</v>
      </c>
      <c r="H12" s="141">
        <v>76</v>
      </c>
      <c r="I12">
        <v>0</v>
      </c>
      <c r="J12">
        <v>22</v>
      </c>
      <c r="K12">
        <v>1.2</v>
      </c>
      <c r="L12">
        <v>72.8</v>
      </c>
    </row>
    <row r="13" spans="1:14" x14ac:dyDescent="0.3">
      <c r="A13">
        <v>0</v>
      </c>
      <c r="B13" t="s">
        <v>647</v>
      </c>
      <c r="C13" t="s">
        <v>267</v>
      </c>
      <c r="D13" t="s">
        <v>278</v>
      </c>
      <c r="E13">
        <v>111</v>
      </c>
      <c r="F13" s="28">
        <v>28614</v>
      </c>
      <c r="G13">
        <v>185</v>
      </c>
      <c r="H13" s="141">
        <v>78</v>
      </c>
      <c r="I13" s="141">
        <v>0</v>
      </c>
      <c r="J13" s="141">
        <v>34</v>
      </c>
      <c r="K13" s="141">
        <v>1.3</v>
      </c>
      <c r="L13" s="141">
        <v>35.4</v>
      </c>
    </row>
    <row r="14" spans="1:14" x14ac:dyDescent="0.3">
      <c r="A14">
        <v>0</v>
      </c>
      <c r="B14" t="s">
        <v>262</v>
      </c>
      <c r="C14" t="s">
        <v>274</v>
      </c>
      <c r="D14" t="s">
        <v>276</v>
      </c>
      <c r="E14">
        <v>111</v>
      </c>
      <c r="F14" s="28">
        <v>29103</v>
      </c>
      <c r="G14">
        <v>180</v>
      </c>
      <c r="H14" s="141">
        <v>80</v>
      </c>
      <c r="I14">
        <v>0</v>
      </c>
      <c r="J14">
        <v>29</v>
      </c>
      <c r="K14">
        <v>1.3</v>
      </c>
      <c r="L14">
        <v>54</v>
      </c>
    </row>
    <row r="15" spans="1:14" x14ac:dyDescent="0.3">
      <c r="A15">
        <v>1</v>
      </c>
      <c r="B15" t="s">
        <v>252</v>
      </c>
      <c r="C15" t="s">
        <v>195</v>
      </c>
      <c r="D15" t="s">
        <v>276</v>
      </c>
      <c r="E15">
        <v>111</v>
      </c>
      <c r="F15" s="28">
        <v>26879</v>
      </c>
      <c r="G15">
        <v>185</v>
      </c>
      <c r="H15">
        <v>75</v>
      </c>
      <c r="I15">
        <v>0</v>
      </c>
      <c r="J15">
        <v>36</v>
      </c>
      <c r="K15">
        <v>1.2</v>
      </c>
      <c r="L15">
        <v>43.2</v>
      </c>
    </row>
    <row r="16" spans="1:14" x14ac:dyDescent="0.3">
      <c r="A16">
        <v>0</v>
      </c>
      <c r="B16" t="s">
        <v>632</v>
      </c>
      <c r="C16" t="s">
        <v>268</v>
      </c>
      <c r="D16" t="s">
        <v>276</v>
      </c>
      <c r="E16">
        <v>111</v>
      </c>
      <c r="F16" s="28">
        <v>29103</v>
      </c>
      <c r="G16">
        <v>180</v>
      </c>
      <c r="H16" s="141">
        <v>80</v>
      </c>
      <c r="I16">
        <v>0</v>
      </c>
      <c r="J16">
        <v>29</v>
      </c>
      <c r="K16">
        <v>1.3</v>
      </c>
      <c r="L16">
        <v>54</v>
      </c>
    </row>
    <row r="17" spans="1:12" x14ac:dyDescent="0.3">
      <c r="A17">
        <v>0</v>
      </c>
      <c r="B17" t="s">
        <v>253</v>
      </c>
      <c r="C17" t="s">
        <v>264</v>
      </c>
      <c r="D17" t="s">
        <v>277</v>
      </c>
      <c r="E17">
        <v>201</v>
      </c>
      <c r="F17" s="28">
        <v>26912</v>
      </c>
      <c r="G17">
        <v>180</v>
      </c>
      <c r="H17" s="141">
        <v>78</v>
      </c>
      <c r="I17">
        <v>1</v>
      </c>
      <c r="J17">
        <v>45</v>
      </c>
      <c r="K17">
        <v>1.4</v>
      </c>
      <c r="L17">
        <v>67.5</v>
      </c>
    </row>
    <row r="18" spans="1:12" x14ac:dyDescent="0.3">
      <c r="A18">
        <v>0</v>
      </c>
      <c r="B18" t="s">
        <v>630</v>
      </c>
      <c r="C18" t="s">
        <v>638</v>
      </c>
      <c r="D18" t="s">
        <v>277</v>
      </c>
      <c r="E18">
        <v>201</v>
      </c>
      <c r="F18" s="28">
        <v>26912</v>
      </c>
      <c r="G18">
        <v>180</v>
      </c>
      <c r="H18" s="141">
        <v>78</v>
      </c>
      <c r="I18">
        <v>1</v>
      </c>
      <c r="J18">
        <v>45</v>
      </c>
      <c r="K18">
        <v>1.4</v>
      </c>
      <c r="L18">
        <v>67.5</v>
      </c>
    </row>
    <row r="19" spans="1:12" x14ac:dyDescent="0.3">
      <c r="A19">
        <v>1</v>
      </c>
      <c r="B19" t="s">
        <v>646</v>
      </c>
      <c r="C19" t="s">
        <v>550</v>
      </c>
      <c r="D19" t="s">
        <v>279</v>
      </c>
      <c r="E19">
        <v>201</v>
      </c>
      <c r="F19" s="28">
        <v>28743</v>
      </c>
      <c r="G19">
        <v>156</v>
      </c>
      <c r="H19" s="141">
        <v>51</v>
      </c>
      <c r="I19" s="141">
        <v>0</v>
      </c>
      <c r="J19" s="141">
        <v>56</v>
      </c>
      <c r="K19" s="141">
        <v>1.2</v>
      </c>
      <c r="L19" s="141">
        <v>74.2</v>
      </c>
    </row>
    <row r="20" spans="1:12" x14ac:dyDescent="0.3">
      <c r="A20">
        <v>1</v>
      </c>
      <c r="B20" t="s">
        <v>631</v>
      </c>
      <c r="C20" t="s">
        <v>639</v>
      </c>
      <c r="D20" t="s">
        <v>276</v>
      </c>
      <c r="E20">
        <v>201</v>
      </c>
      <c r="F20" s="28">
        <v>28397</v>
      </c>
      <c r="G20">
        <v>180</v>
      </c>
      <c r="H20" s="141">
        <v>78</v>
      </c>
      <c r="I20">
        <v>0</v>
      </c>
      <c r="J20">
        <v>36</v>
      </c>
      <c r="K20">
        <v>1.6</v>
      </c>
      <c r="L20">
        <v>105</v>
      </c>
    </row>
    <row r="21" spans="1:12" x14ac:dyDescent="0.3">
      <c r="A21">
        <v>1</v>
      </c>
      <c r="B21" t="s">
        <v>257</v>
      </c>
      <c r="C21" t="s">
        <v>269</v>
      </c>
      <c r="D21" t="s">
        <v>276</v>
      </c>
      <c r="E21">
        <v>201</v>
      </c>
      <c r="F21" s="28">
        <v>28397</v>
      </c>
      <c r="G21">
        <v>180</v>
      </c>
      <c r="H21" s="141">
        <v>78</v>
      </c>
      <c r="I21">
        <v>0</v>
      </c>
      <c r="J21">
        <v>36</v>
      </c>
      <c r="K21">
        <v>1.6</v>
      </c>
      <c r="L21">
        <v>105</v>
      </c>
    </row>
    <row r="22" spans="1:12" x14ac:dyDescent="0.3">
      <c r="A22">
        <v>0</v>
      </c>
      <c r="B22" t="s">
        <v>258</v>
      </c>
      <c r="C22" t="s">
        <v>270</v>
      </c>
      <c r="D22" t="s">
        <v>277</v>
      </c>
      <c r="E22">
        <v>211</v>
      </c>
      <c r="F22" s="28">
        <v>28622</v>
      </c>
      <c r="G22">
        <v>176</v>
      </c>
      <c r="H22" s="141">
        <v>68</v>
      </c>
      <c r="I22">
        <v>0</v>
      </c>
      <c r="J22">
        <v>75</v>
      </c>
      <c r="K22">
        <v>1.3</v>
      </c>
      <c r="L22">
        <v>79.2</v>
      </c>
    </row>
    <row r="23" spans="1:12" x14ac:dyDescent="0.3">
      <c r="A23">
        <v>0</v>
      </c>
      <c r="B23" t="s">
        <v>634</v>
      </c>
      <c r="C23" t="s">
        <v>641</v>
      </c>
      <c r="D23" t="s">
        <v>277</v>
      </c>
      <c r="E23">
        <v>211</v>
      </c>
      <c r="F23" s="28">
        <v>28622</v>
      </c>
      <c r="G23">
        <v>175</v>
      </c>
      <c r="H23" s="141">
        <v>68</v>
      </c>
      <c r="I23">
        <v>0</v>
      </c>
      <c r="J23">
        <v>75</v>
      </c>
      <c r="K23">
        <v>1.3</v>
      </c>
      <c r="L23">
        <v>79.2</v>
      </c>
    </row>
    <row r="24" spans="1:12" x14ac:dyDescent="0.3">
      <c r="A24">
        <v>0</v>
      </c>
      <c r="B24" t="s">
        <v>259</v>
      </c>
      <c r="C24" t="s">
        <v>271</v>
      </c>
      <c r="D24" t="s">
        <v>279</v>
      </c>
      <c r="E24">
        <v>211</v>
      </c>
      <c r="F24" s="28">
        <v>28725</v>
      </c>
      <c r="G24">
        <v>174</v>
      </c>
      <c r="H24">
        <v>56</v>
      </c>
      <c r="I24">
        <v>0</v>
      </c>
      <c r="J24">
        <v>66</v>
      </c>
      <c r="K24">
        <v>1.4</v>
      </c>
      <c r="L24">
        <v>46.9</v>
      </c>
    </row>
    <row r="25" spans="1:12" x14ac:dyDescent="0.3">
      <c r="A25">
        <v>0</v>
      </c>
      <c r="B25" t="s">
        <v>636</v>
      </c>
      <c r="C25" t="s">
        <v>643</v>
      </c>
      <c r="D25" t="s">
        <v>279</v>
      </c>
      <c r="E25">
        <v>211</v>
      </c>
      <c r="F25" s="28">
        <v>28725</v>
      </c>
      <c r="G25">
        <v>170</v>
      </c>
      <c r="H25">
        <v>56</v>
      </c>
      <c r="I25">
        <v>0</v>
      </c>
      <c r="J25">
        <v>66</v>
      </c>
      <c r="K25">
        <v>1.4</v>
      </c>
      <c r="L25">
        <v>46.9</v>
      </c>
    </row>
    <row r="26" spans="1:12" x14ac:dyDescent="0.3">
      <c r="A26">
        <v>0</v>
      </c>
      <c r="B26" t="s">
        <v>635</v>
      </c>
      <c r="C26" t="s">
        <v>642</v>
      </c>
      <c r="D26" t="s">
        <v>278</v>
      </c>
      <c r="E26">
        <v>211</v>
      </c>
      <c r="F26" s="28">
        <v>28527</v>
      </c>
      <c r="G26">
        <v>168</v>
      </c>
      <c r="H26">
        <v>86</v>
      </c>
      <c r="I26">
        <v>0</v>
      </c>
      <c r="J26">
        <v>31</v>
      </c>
      <c r="K26">
        <v>1.5</v>
      </c>
      <c r="L26">
        <v>40.299999999999997</v>
      </c>
    </row>
    <row r="27" spans="1:12" x14ac:dyDescent="0.3">
      <c r="A27">
        <v>0</v>
      </c>
      <c r="B27" t="s">
        <v>255</v>
      </c>
      <c r="C27" t="s">
        <v>265</v>
      </c>
      <c r="D27" t="s">
        <v>278</v>
      </c>
      <c r="E27">
        <v>211</v>
      </c>
      <c r="F27" s="28">
        <v>28527</v>
      </c>
      <c r="G27">
        <v>172</v>
      </c>
      <c r="H27">
        <v>86</v>
      </c>
      <c r="I27">
        <v>0</v>
      </c>
      <c r="J27">
        <v>31</v>
      </c>
      <c r="K27">
        <v>1.5</v>
      </c>
      <c r="L27">
        <v>40.299999999999997</v>
      </c>
    </row>
    <row r="28" spans="1:12" x14ac:dyDescent="0.3">
      <c r="A28">
        <v>0</v>
      </c>
      <c r="B28" t="s">
        <v>648</v>
      </c>
      <c r="C28" t="s">
        <v>650</v>
      </c>
      <c r="D28" t="s">
        <v>276</v>
      </c>
      <c r="E28">
        <v>211</v>
      </c>
      <c r="F28" s="28">
        <v>27496</v>
      </c>
      <c r="G28">
        <v>178</v>
      </c>
      <c r="H28" s="141">
        <v>69</v>
      </c>
      <c r="I28" s="141">
        <v>1</v>
      </c>
      <c r="J28" s="141">
        <v>45</v>
      </c>
      <c r="K28" s="141">
        <v>1.4</v>
      </c>
      <c r="L28" s="141">
        <v>68.2</v>
      </c>
    </row>
    <row r="29" spans="1:12" x14ac:dyDescent="0.3">
      <c r="A29">
        <v>0</v>
      </c>
      <c r="B29" t="s">
        <v>256</v>
      </c>
      <c r="C29" t="s">
        <v>268</v>
      </c>
      <c r="D29" t="s">
        <v>281</v>
      </c>
      <c r="E29">
        <v>311</v>
      </c>
      <c r="F29" s="28">
        <v>28697</v>
      </c>
      <c r="G29">
        <v>182</v>
      </c>
      <c r="H29" s="141">
        <v>54</v>
      </c>
      <c r="I29">
        <v>1</v>
      </c>
      <c r="J29">
        <v>64</v>
      </c>
      <c r="K29">
        <v>1.1000000000000001</v>
      </c>
      <c r="L29">
        <v>83.2</v>
      </c>
    </row>
    <row r="30" spans="1:12" x14ac:dyDescent="0.3">
      <c r="A30">
        <v>0</v>
      </c>
      <c r="B30" t="s">
        <v>626</v>
      </c>
      <c r="C30" t="s">
        <v>416</v>
      </c>
      <c r="D30" t="s">
        <v>281</v>
      </c>
      <c r="E30">
        <v>311</v>
      </c>
      <c r="F30" s="28">
        <v>28697</v>
      </c>
      <c r="G30">
        <v>182</v>
      </c>
      <c r="H30" s="141">
        <v>54</v>
      </c>
      <c r="I30">
        <v>1</v>
      </c>
      <c r="J30">
        <v>64</v>
      </c>
      <c r="K30">
        <v>1.1000000000000001</v>
      </c>
      <c r="L30">
        <v>83.2</v>
      </c>
    </row>
    <row r="31" spans="1:12" x14ac:dyDescent="0.3">
      <c r="A31">
        <v>1</v>
      </c>
      <c r="B31" t="s">
        <v>629</v>
      </c>
      <c r="C31" t="s">
        <v>269</v>
      </c>
      <c r="D31" t="s">
        <v>278</v>
      </c>
      <c r="E31">
        <v>311</v>
      </c>
      <c r="F31" s="28">
        <v>28197</v>
      </c>
      <c r="G31">
        <v>182</v>
      </c>
      <c r="H31" s="141">
        <v>55</v>
      </c>
      <c r="I31">
        <v>1</v>
      </c>
      <c r="J31">
        <v>36</v>
      </c>
      <c r="K31">
        <v>1.5</v>
      </c>
      <c r="L31">
        <v>61.6</v>
      </c>
    </row>
    <row r="32" spans="1:12" x14ac:dyDescent="0.3">
      <c r="A32">
        <v>1</v>
      </c>
      <c r="B32" t="s">
        <v>260</v>
      </c>
      <c r="C32" t="s">
        <v>272</v>
      </c>
      <c r="D32" t="s">
        <v>278</v>
      </c>
      <c r="E32">
        <v>311</v>
      </c>
      <c r="F32" s="28">
        <v>28197</v>
      </c>
      <c r="G32">
        <v>182</v>
      </c>
      <c r="H32" s="141">
        <v>55</v>
      </c>
      <c r="I32">
        <v>1</v>
      </c>
      <c r="J32">
        <v>36</v>
      </c>
      <c r="K32">
        <v>1.5</v>
      </c>
      <c r="L32">
        <v>61.6</v>
      </c>
    </row>
  </sheetData>
  <sortState ref="A4:L32">
    <sortCondition ref="E4:E32"/>
  </sortState>
  <dataValidations count="3">
    <dataValidation type="whole" allowBlank="1" showInputMessage="1" showErrorMessage="1" errorTitle="Chybná výška!!!" error="Zadej hodnotu 100 cm - 190 cm" promptTitle="Zadej výšku" prompt="Můžete zadat celočíselnou hodnotu od 150 cm do 190 cm." sqref="G4 G5:G6 G7:G8 G9:G11 G12 G13:G14 G15 G16:G18 G19:G21 G22:G30 G31:G32">
      <formula1>150</formula1>
      <formula2>190</formula2>
    </dataValidation>
    <dataValidation type="list" allowBlank="1" showInputMessage="1" showErrorMessage="1" sqref="E4 E5:E6 E7:E8 E9:E11 E12 E13:E14 E15 E16:E18 E19:E21 E22:E30 E31:E32">
      <formula1>"101,111,201,211,311"</formula1>
    </dataValidation>
    <dataValidation type="whole" allowBlank="1" showInputMessage="1" showErrorMessage="1" sqref="H4 H5:H6 H7:H8 H9:H11 H12 H13:H14 H15 H16:H18 H19:H21 H22:H30 H31:H32">
      <formula1>50</formula1>
      <formula2>100</formula2>
    </dataValidation>
  </dataValidations>
  <hyperlinks>
    <hyperlink ref="N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rgb="FF92D050"/>
  </sheetPr>
  <dimension ref="A1:L16"/>
  <sheetViews>
    <sheetView workbookViewId="0">
      <selection activeCell="A31" sqref="A31"/>
    </sheetView>
  </sheetViews>
  <sheetFormatPr defaultRowHeight="14.4" outlineLevelCol="3" x14ac:dyDescent="0.3"/>
  <cols>
    <col min="3" max="4" width="9.109375" customWidth="1" outlineLevel="2"/>
    <col min="5" max="5" width="9.109375" customWidth="1" outlineLevel="1"/>
    <col min="6" max="6" width="15.109375" customWidth="1" outlineLevel="3"/>
    <col min="7" max="8" width="9.109375" customWidth="1" outlineLevel="3"/>
    <col min="9" max="9" width="9.109375" customWidth="1" outlineLevel="2"/>
    <col min="10" max="11" width="9.109375" customWidth="1" outlineLevel="3"/>
  </cols>
  <sheetData>
    <row r="1" spans="1:12" ht="21" x14ac:dyDescent="0.4">
      <c r="A1" s="38" t="s">
        <v>289</v>
      </c>
    </row>
    <row r="3" spans="1:12" ht="15" thickBot="1" x14ac:dyDescent="0.35">
      <c r="A3" s="58" t="s">
        <v>243</v>
      </c>
      <c r="B3" s="58" t="s">
        <v>178</v>
      </c>
      <c r="C3" s="58" t="s">
        <v>244</v>
      </c>
      <c r="D3" s="58" t="s">
        <v>245</v>
      </c>
      <c r="E3" s="58" t="s">
        <v>246</v>
      </c>
      <c r="F3" s="58" t="s">
        <v>1</v>
      </c>
      <c r="G3" s="58" t="s">
        <v>247</v>
      </c>
      <c r="H3" s="59" t="s">
        <v>248</v>
      </c>
      <c r="I3" s="58" t="s">
        <v>249</v>
      </c>
      <c r="J3" s="58" t="s">
        <v>250</v>
      </c>
      <c r="K3" s="58" t="s">
        <v>282</v>
      </c>
      <c r="L3" s="58" t="s">
        <v>251</v>
      </c>
    </row>
    <row r="4" spans="1:12" x14ac:dyDescent="0.3">
      <c r="A4">
        <v>1</v>
      </c>
      <c r="B4" t="s">
        <v>252</v>
      </c>
      <c r="C4" t="s">
        <v>195</v>
      </c>
      <c r="D4" t="s">
        <v>276</v>
      </c>
      <c r="E4">
        <v>111</v>
      </c>
      <c r="F4" s="28">
        <v>26879</v>
      </c>
      <c r="G4">
        <v>185</v>
      </c>
      <c r="H4">
        <v>75</v>
      </c>
      <c r="I4">
        <v>0</v>
      </c>
      <c r="J4">
        <v>36</v>
      </c>
      <c r="K4">
        <v>1.2</v>
      </c>
      <c r="L4">
        <v>43.2</v>
      </c>
    </row>
    <row r="5" spans="1:12" x14ac:dyDescent="0.3">
      <c r="A5">
        <v>0</v>
      </c>
      <c r="B5" t="s">
        <v>261</v>
      </c>
      <c r="C5" t="s">
        <v>273</v>
      </c>
      <c r="D5" t="s">
        <v>277</v>
      </c>
      <c r="E5">
        <v>111</v>
      </c>
      <c r="F5" s="28">
        <v>28624</v>
      </c>
      <c r="G5">
        <v>185</v>
      </c>
      <c r="H5">
        <v>76</v>
      </c>
      <c r="I5">
        <v>1</v>
      </c>
      <c r="J5">
        <v>44</v>
      </c>
      <c r="K5">
        <v>1.5</v>
      </c>
      <c r="L5">
        <v>46.4</v>
      </c>
    </row>
    <row r="6" spans="1:12" x14ac:dyDescent="0.3">
      <c r="A6">
        <v>1</v>
      </c>
      <c r="B6" t="s">
        <v>254</v>
      </c>
      <c r="C6" t="s">
        <v>266</v>
      </c>
      <c r="D6" t="s">
        <v>279</v>
      </c>
      <c r="E6">
        <v>111</v>
      </c>
      <c r="F6" s="28">
        <v>28564</v>
      </c>
      <c r="G6">
        <v>182</v>
      </c>
      <c r="H6">
        <v>76</v>
      </c>
      <c r="I6">
        <v>0</v>
      </c>
      <c r="J6">
        <v>22</v>
      </c>
      <c r="K6">
        <v>1.2</v>
      </c>
      <c r="L6">
        <v>72.8</v>
      </c>
    </row>
    <row r="7" spans="1:12" x14ac:dyDescent="0.3">
      <c r="A7">
        <v>0</v>
      </c>
      <c r="B7" t="s">
        <v>256</v>
      </c>
      <c r="C7" t="s">
        <v>268</v>
      </c>
      <c r="D7" t="s">
        <v>281</v>
      </c>
      <c r="E7">
        <v>311</v>
      </c>
      <c r="F7" s="28">
        <v>28697</v>
      </c>
      <c r="G7">
        <v>182</v>
      </c>
      <c r="H7">
        <v>54</v>
      </c>
      <c r="I7">
        <v>1</v>
      </c>
      <c r="J7">
        <v>64</v>
      </c>
      <c r="K7">
        <v>1.1000000000000001</v>
      </c>
      <c r="L7">
        <v>83.2</v>
      </c>
    </row>
    <row r="8" spans="1:12" x14ac:dyDescent="0.3">
      <c r="A8">
        <v>1</v>
      </c>
      <c r="B8" t="s">
        <v>260</v>
      </c>
      <c r="C8" t="s">
        <v>272</v>
      </c>
      <c r="D8" t="s">
        <v>278</v>
      </c>
      <c r="E8">
        <v>311</v>
      </c>
      <c r="F8" s="28">
        <v>28197</v>
      </c>
      <c r="G8">
        <v>182</v>
      </c>
      <c r="H8">
        <v>55</v>
      </c>
      <c r="I8">
        <v>1</v>
      </c>
      <c r="J8">
        <v>36</v>
      </c>
      <c r="K8">
        <v>1.5</v>
      </c>
      <c r="L8">
        <v>61.6</v>
      </c>
    </row>
    <row r="9" spans="1:12" x14ac:dyDescent="0.3">
      <c r="A9">
        <v>0</v>
      </c>
      <c r="B9" t="s">
        <v>253</v>
      </c>
      <c r="C9" t="s">
        <v>264</v>
      </c>
      <c r="D9" t="s">
        <v>277</v>
      </c>
      <c r="E9">
        <v>201</v>
      </c>
      <c r="F9" s="28">
        <v>26912</v>
      </c>
      <c r="G9">
        <v>180</v>
      </c>
      <c r="H9">
        <v>78</v>
      </c>
      <c r="I9">
        <v>1</v>
      </c>
      <c r="J9">
        <v>45</v>
      </c>
      <c r="K9">
        <v>1.4</v>
      </c>
      <c r="L9">
        <v>67.5</v>
      </c>
    </row>
    <row r="10" spans="1:12" x14ac:dyDescent="0.3">
      <c r="A10">
        <v>1</v>
      </c>
      <c r="B10" t="s">
        <v>257</v>
      </c>
      <c r="C10" t="s">
        <v>269</v>
      </c>
      <c r="D10" t="s">
        <v>276</v>
      </c>
      <c r="E10">
        <v>201</v>
      </c>
      <c r="F10" s="28">
        <v>28397</v>
      </c>
      <c r="G10">
        <v>180</v>
      </c>
      <c r="H10">
        <v>78</v>
      </c>
      <c r="I10">
        <v>0</v>
      </c>
      <c r="J10">
        <v>36</v>
      </c>
      <c r="K10">
        <v>1.6</v>
      </c>
      <c r="L10">
        <v>105</v>
      </c>
    </row>
    <row r="11" spans="1:12" x14ac:dyDescent="0.3">
      <c r="A11">
        <v>0</v>
      </c>
      <c r="B11" t="s">
        <v>262</v>
      </c>
      <c r="C11" t="s">
        <v>274</v>
      </c>
      <c r="D11" t="s">
        <v>276</v>
      </c>
      <c r="E11">
        <v>111</v>
      </c>
      <c r="F11" s="28">
        <v>29103</v>
      </c>
      <c r="G11">
        <v>180</v>
      </c>
      <c r="H11">
        <v>80</v>
      </c>
      <c r="I11">
        <v>0</v>
      </c>
      <c r="J11">
        <v>29</v>
      </c>
      <c r="K11">
        <v>1.3</v>
      </c>
      <c r="L11">
        <v>54</v>
      </c>
    </row>
    <row r="12" spans="1:12" x14ac:dyDescent="0.3">
      <c r="A12">
        <v>0</v>
      </c>
      <c r="B12" t="s">
        <v>263</v>
      </c>
      <c r="C12" t="s">
        <v>275</v>
      </c>
      <c r="D12" t="s">
        <v>277</v>
      </c>
      <c r="E12">
        <v>101</v>
      </c>
      <c r="F12" s="28">
        <v>28160</v>
      </c>
      <c r="G12">
        <v>179</v>
      </c>
      <c r="H12">
        <v>78</v>
      </c>
      <c r="I12">
        <v>1</v>
      </c>
      <c r="J12">
        <v>36</v>
      </c>
      <c r="K12">
        <v>1.4</v>
      </c>
      <c r="L12">
        <v>54.2</v>
      </c>
    </row>
    <row r="13" spans="1:12" x14ac:dyDescent="0.3">
      <c r="A13">
        <v>0</v>
      </c>
      <c r="B13" t="s">
        <v>258</v>
      </c>
      <c r="C13" t="s">
        <v>270</v>
      </c>
      <c r="D13" t="s">
        <v>277</v>
      </c>
      <c r="E13">
        <v>211</v>
      </c>
      <c r="F13" s="28">
        <v>28622</v>
      </c>
      <c r="G13">
        <v>176</v>
      </c>
      <c r="H13">
        <v>68</v>
      </c>
      <c r="I13">
        <v>0</v>
      </c>
      <c r="J13">
        <v>75</v>
      </c>
      <c r="K13">
        <v>1.3</v>
      </c>
      <c r="L13">
        <v>79.2</v>
      </c>
    </row>
    <row r="14" spans="1:12" x14ac:dyDescent="0.3">
      <c r="A14">
        <v>0</v>
      </c>
      <c r="B14" t="s">
        <v>255</v>
      </c>
      <c r="C14" t="s">
        <v>265</v>
      </c>
      <c r="D14" t="s">
        <v>278</v>
      </c>
      <c r="E14">
        <v>211</v>
      </c>
      <c r="F14" s="28">
        <v>28527</v>
      </c>
      <c r="G14">
        <v>175</v>
      </c>
      <c r="H14">
        <v>86</v>
      </c>
      <c r="I14">
        <v>0</v>
      </c>
      <c r="J14">
        <v>31</v>
      </c>
      <c r="K14">
        <v>1.5</v>
      </c>
      <c r="L14">
        <v>40.299999999999997</v>
      </c>
    </row>
    <row r="15" spans="1:12" x14ac:dyDescent="0.3">
      <c r="A15">
        <v>0</v>
      </c>
      <c r="B15" t="s">
        <v>259</v>
      </c>
      <c r="C15" t="s">
        <v>271</v>
      </c>
      <c r="D15" t="s">
        <v>279</v>
      </c>
      <c r="E15">
        <v>211</v>
      </c>
      <c r="F15" s="28">
        <v>28725</v>
      </c>
      <c r="G15">
        <v>175</v>
      </c>
      <c r="H15">
        <v>56</v>
      </c>
      <c r="I15">
        <v>0</v>
      </c>
      <c r="J15">
        <v>66</v>
      </c>
      <c r="K15">
        <v>1.4</v>
      </c>
      <c r="L15">
        <v>46.9</v>
      </c>
    </row>
    <row r="16" spans="1:12" x14ac:dyDescent="0.3">
      <c r="A16">
        <v>0</v>
      </c>
      <c r="B16" t="s">
        <v>186</v>
      </c>
      <c r="C16" t="s">
        <v>267</v>
      </c>
      <c r="D16" t="s">
        <v>280</v>
      </c>
      <c r="E16">
        <v>111</v>
      </c>
      <c r="F16" s="28">
        <v>28382</v>
      </c>
      <c r="G16">
        <v>174</v>
      </c>
      <c r="H16">
        <v>65</v>
      </c>
      <c r="I16">
        <v>1</v>
      </c>
      <c r="J16">
        <v>52</v>
      </c>
      <c r="K16">
        <v>1.4</v>
      </c>
      <c r="L16">
        <v>73.7</v>
      </c>
    </row>
  </sheetData>
  <dataValidations count="2">
    <dataValidation type="list" allowBlank="1" showInputMessage="1" showErrorMessage="1" sqref="E4:E16">
      <formula1>"101,111,201,211,311"</formula1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4:G16">
      <formula1>150</formula1>
      <formula2>190</formula2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rgb="FF92D050"/>
  </sheetPr>
  <dimension ref="A1:N34"/>
  <sheetViews>
    <sheetView topLeftCell="A31" workbookViewId="0">
      <selection activeCell="N1" sqref="N1"/>
    </sheetView>
  </sheetViews>
  <sheetFormatPr defaultRowHeight="14.4" x14ac:dyDescent="0.3"/>
  <cols>
    <col min="2" max="2" width="17.6640625" customWidth="1"/>
    <col min="4" max="4" width="20" customWidth="1"/>
    <col min="6" max="6" width="12.88671875" customWidth="1"/>
  </cols>
  <sheetData>
    <row r="1" spans="1:14" ht="21" x14ac:dyDescent="0.4">
      <c r="A1" s="38" t="s">
        <v>290</v>
      </c>
      <c r="N1" s="182" t="s">
        <v>1148</v>
      </c>
    </row>
    <row r="3" spans="1:14" ht="15" thickBot="1" x14ac:dyDescent="0.35">
      <c r="A3" s="58" t="s">
        <v>243</v>
      </c>
      <c r="B3" s="58" t="s">
        <v>178</v>
      </c>
      <c r="C3" s="58" t="s">
        <v>244</v>
      </c>
      <c r="D3" s="58" t="s">
        <v>245</v>
      </c>
      <c r="E3" s="58" t="s">
        <v>246</v>
      </c>
      <c r="F3" s="58" t="s">
        <v>1</v>
      </c>
      <c r="G3" s="58" t="s">
        <v>247</v>
      </c>
      <c r="H3" s="58" t="s">
        <v>248</v>
      </c>
      <c r="I3" s="58" t="s">
        <v>249</v>
      </c>
      <c r="J3" s="58" t="s">
        <v>250</v>
      </c>
      <c r="K3" s="58" t="s">
        <v>282</v>
      </c>
      <c r="L3" s="58" t="s">
        <v>251</v>
      </c>
    </row>
    <row r="4" spans="1:14" x14ac:dyDescent="0.3">
      <c r="A4">
        <v>1</v>
      </c>
      <c r="B4" t="s">
        <v>627</v>
      </c>
      <c r="C4" t="s">
        <v>628</v>
      </c>
      <c r="D4" t="s">
        <v>622</v>
      </c>
      <c r="E4">
        <v>101</v>
      </c>
      <c r="F4" s="28">
        <v>27895</v>
      </c>
      <c r="G4">
        <v>178</v>
      </c>
      <c r="H4" s="141">
        <v>72</v>
      </c>
      <c r="I4" s="141">
        <v>1</v>
      </c>
      <c r="J4" s="141">
        <v>30</v>
      </c>
      <c r="K4" s="141">
        <v>1.5</v>
      </c>
      <c r="L4" s="141">
        <v>70.400000000000006</v>
      </c>
    </row>
    <row r="5" spans="1:14" x14ac:dyDescent="0.3">
      <c r="A5">
        <v>0</v>
      </c>
      <c r="B5" t="s">
        <v>253</v>
      </c>
      <c r="C5" t="s">
        <v>264</v>
      </c>
      <c r="D5" t="s">
        <v>277</v>
      </c>
      <c r="E5">
        <v>201</v>
      </c>
      <c r="F5" s="28">
        <v>26912</v>
      </c>
      <c r="G5">
        <v>180</v>
      </c>
      <c r="H5" s="141">
        <v>78</v>
      </c>
      <c r="I5">
        <v>1</v>
      </c>
      <c r="J5">
        <v>45</v>
      </c>
      <c r="K5">
        <v>1.4</v>
      </c>
      <c r="L5">
        <v>67.5</v>
      </c>
    </row>
    <row r="6" spans="1:14" x14ac:dyDescent="0.3">
      <c r="A6">
        <v>0</v>
      </c>
      <c r="B6" t="s">
        <v>258</v>
      </c>
      <c r="C6" t="s">
        <v>270</v>
      </c>
      <c r="D6" t="s">
        <v>277</v>
      </c>
      <c r="E6">
        <v>211</v>
      </c>
      <c r="F6" s="28">
        <v>28622</v>
      </c>
      <c r="G6">
        <v>176</v>
      </c>
      <c r="H6" s="141">
        <v>68</v>
      </c>
      <c r="I6">
        <v>0</v>
      </c>
      <c r="J6">
        <v>75</v>
      </c>
      <c r="K6">
        <v>1.3</v>
      </c>
      <c r="L6">
        <v>79.2</v>
      </c>
    </row>
    <row r="7" spans="1:14" x14ac:dyDescent="0.3">
      <c r="A7">
        <v>0</v>
      </c>
      <c r="B7" t="s">
        <v>261</v>
      </c>
      <c r="C7" t="s">
        <v>273</v>
      </c>
      <c r="D7" t="s">
        <v>277</v>
      </c>
      <c r="E7">
        <v>111</v>
      </c>
      <c r="F7" s="28">
        <v>28624</v>
      </c>
      <c r="G7">
        <v>185</v>
      </c>
      <c r="H7" s="141">
        <v>76</v>
      </c>
      <c r="I7">
        <v>1</v>
      </c>
      <c r="J7">
        <v>44</v>
      </c>
      <c r="K7">
        <v>1.5</v>
      </c>
      <c r="L7">
        <v>46.4</v>
      </c>
    </row>
    <row r="8" spans="1:14" x14ac:dyDescent="0.3">
      <c r="A8">
        <v>0</v>
      </c>
      <c r="B8" t="s">
        <v>633</v>
      </c>
      <c r="C8" t="s">
        <v>640</v>
      </c>
      <c r="D8" t="s">
        <v>277</v>
      </c>
      <c r="E8">
        <v>101</v>
      </c>
      <c r="F8" s="28">
        <v>28160</v>
      </c>
      <c r="G8">
        <v>179</v>
      </c>
      <c r="H8" s="141">
        <v>78</v>
      </c>
      <c r="I8">
        <v>1</v>
      </c>
      <c r="J8">
        <v>36</v>
      </c>
      <c r="K8">
        <v>1.4</v>
      </c>
      <c r="L8">
        <v>54.2</v>
      </c>
    </row>
    <row r="9" spans="1:14" x14ac:dyDescent="0.3">
      <c r="A9">
        <v>0</v>
      </c>
      <c r="B9" t="s">
        <v>630</v>
      </c>
      <c r="C9" t="s">
        <v>638</v>
      </c>
      <c r="D9" t="s">
        <v>277</v>
      </c>
      <c r="E9">
        <v>201</v>
      </c>
      <c r="F9" s="28">
        <v>26912</v>
      </c>
      <c r="G9">
        <v>180</v>
      </c>
      <c r="H9" s="141">
        <v>78</v>
      </c>
      <c r="I9">
        <v>1</v>
      </c>
      <c r="J9">
        <v>45</v>
      </c>
      <c r="K9">
        <v>1.4</v>
      </c>
      <c r="L9">
        <v>67.5</v>
      </c>
    </row>
    <row r="10" spans="1:14" x14ac:dyDescent="0.3">
      <c r="A10">
        <v>0</v>
      </c>
      <c r="B10" t="s">
        <v>634</v>
      </c>
      <c r="C10" t="s">
        <v>641</v>
      </c>
      <c r="D10" t="s">
        <v>277</v>
      </c>
      <c r="E10">
        <v>211</v>
      </c>
      <c r="F10" s="28">
        <v>28622</v>
      </c>
      <c r="G10">
        <v>175</v>
      </c>
      <c r="H10" s="141">
        <v>68</v>
      </c>
      <c r="I10">
        <v>0</v>
      </c>
      <c r="J10">
        <v>75</v>
      </c>
      <c r="K10">
        <v>1.3</v>
      </c>
      <c r="L10">
        <v>79.2</v>
      </c>
    </row>
    <row r="11" spans="1:14" x14ac:dyDescent="0.3">
      <c r="A11">
        <v>0</v>
      </c>
      <c r="B11" t="s">
        <v>263</v>
      </c>
      <c r="C11" t="s">
        <v>275</v>
      </c>
      <c r="D11" t="s">
        <v>277</v>
      </c>
      <c r="E11">
        <v>101</v>
      </c>
      <c r="F11" s="28">
        <v>28160</v>
      </c>
      <c r="G11">
        <v>179</v>
      </c>
      <c r="H11" s="141">
        <v>78</v>
      </c>
      <c r="I11">
        <v>1</v>
      </c>
      <c r="J11">
        <v>36</v>
      </c>
      <c r="K11">
        <v>1.4</v>
      </c>
      <c r="L11">
        <v>54.2</v>
      </c>
    </row>
    <row r="12" spans="1:14" x14ac:dyDescent="0.3">
      <c r="A12">
        <v>0</v>
      </c>
      <c r="B12" t="s">
        <v>256</v>
      </c>
      <c r="C12" t="s">
        <v>268</v>
      </c>
      <c r="D12" t="s">
        <v>281</v>
      </c>
      <c r="E12">
        <v>311</v>
      </c>
      <c r="F12" s="28">
        <v>28697</v>
      </c>
      <c r="G12">
        <v>182</v>
      </c>
      <c r="H12" s="141">
        <v>54</v>
      </c>
      <c r="I12">
        <v>1</v>
      </c>
      <c r="J12">
        <v>64</v>
      </c>
      <c r="K12">
        <v>1.1000000000000001</v>
      </c>
      <c r="L12">
        <v>83.2</v>
      </c>
    </row>
    <row r="13" spans="1:14" x14ac:dyDescent="0.3">
      <c r="A13">
        <v>0</v>
      </c>
      <c r="B13" t="s">
        <v>626</v>
      </c>
      <c r="C13" t="s">
        <v>416</v>
      </c>
      <c r="D13" t="s">
        <v>281</v>
      </c>
      <c r="E13">
        <v>311</v>
      </c>
      <c r="F13" s="28">
        <v>28697</v>
      </c>
      <c r="G13">
        <v>182</v>
      </c>
      <c r="H13" s="141">
        <v>54</v>
      </c>
      <c r="I13">
        <v>1</v>
      </c>
      <c r="J13">
        <v>64</v>
      </c>
      <c r="K13">
        <v>1.1000000000000001</v>
      </c>
      <c r="L13">
        <v>83.2</v>
      </c>
    </row>
    <row r="14" spans="1:14" x14ac:dyDescent="0.3">
      <c r="A14">
        <v>1</v>
      </c>
      <c r="B14" t="s">
        <v>649</v>
      </c>
      <c r="C14" t="s">
        <v>651</v>
      </c>
      <c r="D14" t="s">
        <v>281</v>
      </c>
      <c r="E14">
        <v>101</v>
      </c>
      <c r="F14" s="28">
        <v>28271</v>
      </c>
      <c r="G14">
        <v>152</v>
      </c>
      <c r="H14" s="141">
        <v>65</v>
      </c>
      <c r="I14" s="141">
        <v>1</v>
      </c>
      <c r="J14" s="141">
        <v>29</v>
      </c>
      <c r="K14" s="141">
        <v>1.2</v>
      </c>
      <c r="L14" s="141">
        <v>41.9</v>
      </c>
    </row>
    <row r="15" spans="1:14" x14ac:dyDescent="0.3">
      <c r="A15">
        <v>0</v>
      </c>
      <c r="B15" t="s">
        <v>186</v>
      </c>
      <c r="C15" t="s">
        <v>267</v>
      </c>
      <c r="D15" t="s">
        <v>280</v>
      </c>
      <c r="E15">
        <v>111</v>
      </c>
      <c r="F15" s="28">
        <v>28382</v>
      </c>
      <c r="G15">
        <v>164</v>
      </c>
      <c r="H15">
        <v>65</v>
      </c>
      <c r="I15">
        <v>1</v>
      </c>
      <c r="J15">
        <v>52</v>
      </c>
      <c r="K15">
        <v>1.4</v>
      </c>
      <c r="L15">
        <v>73.7</v>
      </c>
    </row>
    <row r="16" spans="1:14" x14ac:dyDescent="0.3">
      <c r="A16">
        <v>0</v>
      </c>
      <c r="B16" t="s">
        <v>637</v>
      </c>
      <c r="C16" t="s">
        <v>644</v>
      </c>
      <c r="D16" t="s">
        <v>280</v>
      </c>
      <c r="E16">
        <v>111</v>
      </c>
      <c r="F16" s="28">
        <v>28382</v>
      </c>
      <c r="G16">
        <v>165</v>
      </c>
      <c r="H16">
        <v>65</v>
      </c>
      <c r="I16">
        <v>1</v>
      </c>
      <c r="J16">
        <v>52</v>
      </c>
      <c r="K16">
        <v>1.4</v>
      </c>
      <c r="L16">
        <v>73.7</v>
      </c>
    </row>
    <row r="17" spans="1:12" x14ac:dyDescent="0.3">
      <c r="A17">
        <v>1</v>
      </c>
      <c r="B17" t="s">
        <v>254</v>
      </c>
      <c r="C17" t="s">
        <v>266</v>
      </c>
      <c r="D17" t="s">
        <v>279</v>
      </c>
      <c r="E17">
        <v>111</v>
      </c>
      <c r="F17" s="28">
        <v>28564</v>
      </c>
      <c r="G17">
        <v>182</v>
      </c>
      <c r="H17" s="141">
        <v>76</v>
      </c>
      <c r="I17">
        <v>0</v>
      </c>
      <c r="J17">
        <v>22</v>
      </c>
      <c r="K17">
        <v>1.2</v>
      </c>
      <c r="L17">
        <v>72.8</v>
      </c>
    </row>
    <row r="18" spans="1:12" x14ac:dyDescent="0.3">
      <c r="A18">
        <v>1</v>
      </c>
      <c r="B18" t="s">
        <v>646</v>
      </c>
      <c r="C18" t="s">
        <v>550</v>
      </c>
      <c r="D18" t="s">
        <v>279</v>
      </c>
      <c r="E18">
        <v>201</v>
      </c>
      <c r="F18" s="28">
        <v>28743</v>
      </c>
      <c r="G18">
        <v>156</v>
      </c>
      <c r="H18" s="141">
        <v>51</v>
      </c>
      <c r="I18" s="141">
        <v>0</v>
      </c>
      <c r="J18" s="141">
        <v>56</v>
      </c>
      <c r="K18" s="141">
        <v>1.2</v>
      </c>
      <c r="L18" s="141">
        <v>74.2</v>
      </c>
    </row>
    <row r="19" spans="1:12" x14ac:dyDescent="0.3">
      <c r="A19">
        <v>0</v>
      </c>
      <c r="B19" t="s">
        <v>259</v>
      </c>
      <c r="C19" t="s">
        <v>271</v>
      </c>
      <c r="D19" t="s">
        <v>279</v>
      </c>
      <c r="E19">
        <v>211</v>
      </c>
      <c r="F19" s="28">
        <v>28725</v>
      </c>
      <c r="G19">
        <v>174</v>
      </c>
      <c r="H19">
        <v>56</v>
      </c>
      <c r="I19">
        <v>0</v>
      </c>
      <c r="J19">
        <v>66</v>
      </c>
      <c r="K19">
        <v>1.4</v>
      </c>
      <c r="L19">
        <v>46.9</v>
      </c>
    </row>
    <row r="20" spans="1:12" x14ac:dyDescent="0.3">
      <c r="A20">
        <v>0</v>
      </c>
      <c r="B20" t="s">
        <v>636</v>
      </c>
      <c r="C20" t="s">
        <v>643</v>
      </c>
      <c r="D20" t="s">
        <v>279</v>
      </c>
      <c r="E20">
        <v>211</v>
      </c>
      <c r="F20" s="28">
        <v>28725</v>
      </c>
      <c r="G20">
        <v>170</v>
      </c>
      <c r="H20">
        <v>56</v>
      </c>
      <c r="I20">
        <v>0</v>
      </c>
      <c r="J20">
        <v>66</v>
      </c>
      <c r="K20">
        <v>1.4</v>
      </c>
      <c r="L20">
        <v>46.9</v>
      </c>
    </row>
    <row r="21" spans="1:12" x14ac:dyDescent="0.3">
      <c r="A21">
        <v>1</v>
      </c>
      <c r="B21" t="s">
        <v>645</v>
      </c>
      <c r="C21" t="s">
        <v>266</v>
      </c>
      <c r="D21" t="s">
        <v>278</v>
      </c>
      <c r="E21">
        <v>101</v>
      </c>
      <c r="F21" s="28">
        <v>28403</v>
      </c>
      <c r="G21">
        <v>154</v>
      </c>
      <c r="H21" s="141">
        <v>56</v>
      </c>
      <c r="I21" s="141">
        <v>0</v>
      </c>
      <c r="J21" s="141">
        <v>34</v>
      </c>
      <c r="K21" s="141">
        <v>1.1000000000000001</v>
      </c>
      <c r="L21" s="141">
        <v>54.6</v>
      </c>
    </row>
    <row r="22" spans="1:12" x14ac:dyDescent="0.3">
      <c r="A22">
        <v>0</v>
      </c>
      <c r="B22" t="s">
        <v>635</v>
      </c>
      <c r="C22" t="s">
        <v>642</v>
      </c>
      <c r="D22" t="s">
        <v>278</v>
      </c>
      <c r="E22">
        <v>211</v>
      </c>
      <c r="F22" s="28">
        <v>28527</v>
      </c>
      <c r="G22">
        <v>168</v>
      </c>
      <c r="H22">
        <v>86</v>
      </c>
      <c r="I22">
        <v>0</v>
      </c>
      <c r="J22">
        <v>31</v>
      </c>
      <c r="K22">
        <v>1.5</v>
      </c>
      <c r="L22">
        <v>40.299999999999997</v>
      </c>
    </row>
    <row r="23" spans="1:12" x14ac:dyDescent="0.3">
      <c r="A23">
        <v>0</v>
      </c>
      <c r="B23" t="s">
        <v>255</v>
      </c>
      <c r="C23" t="s">
        <v>265</v>
      </c>
      <c r="D23" t="s">
        <v>278</v>
      </c>
      <c r="E23">
        <v>211</v>
      </c>
      <c r="F23" s="28">
        <v>28527</v>
      </c>
      <c r="G23">
        <v>172</v>
      </c>
      <c r="H23">
        <v>86</v>
      </c>
      <c r="I23">
        <v>0</v>
      </c>
      <c r="J23">
        <v>31</v>
      </c>
      <c r="K23">
        <v>1.5</v>
      </c>
      <c r="L23">
        <v>40.299999999999997</v>
      </c>
    </row>
    <row r="24" spans="1:12" x14ac:dyDescent="0.3">
      <c r="A24">
        <v>1</v>
      </c>
      <c r="B24" t="s">
        <v>629</v>
      </c>
      <c r="C24" t="s">
        <v>269</v>
      </c>
      <c r="D24" t="s">
        <v>278</v>
      </c>
      <c r="E24">
        <v>311</v>
      </c>
      <c r="F24" s="28">
        <v>28197</v>
      </c>
      <c r="G24">
        <v>182</v>
      </c>
      <c r="H24" s="141">
        <v>55</v>
      </c>
      <c r="I24">
        <v>1</v>
      </c>
      <c r="J24">
        <v>36</v>
      </c>
      <c r="K24">
        <v>1.5</v>
      </c>
      <c r="L24">
        <v>61.6</v>
      </c>
    </row>
    <row r="25" spans="1:12" x14ac:dyDescent="0.3">
      <c r="A25">
        <v>1</v>
      </c>
      <c r="B25" t="s">
        <v>260</v>
      </c>
      <c r="C25" t="s">
        <v>272</v>
      </c>
      <c r="D25" t="s">
        <v>278</v>
      </c>
      <c r="E25">
        <v>311</v>
      </c>
      <c r="F25" s="28">
        <v>28197</v>
      </c>
      <c r="G25">
        <v>182</v>
      </c>
      <c r="H25" s="141">
        <v>55</v>
      </c>
      <c r="I25">
        <v>1</v>
      </c>
      <c r="J25">
        <v>36</v>
      </c>
      <c r="K25">
        <v>1.5</v>
      </c>
      <c r="L25">
        <v>61.6</v>
      </c>
    </row>
    <row r="26" spans="1:12" x14ac:dyDescent="0.3">
      <c r="A26">
        <v>0</v>
      </c>
      <c r="B26" t="s">
        <v>647</v>
      </c>
      <c r="C26" t="s">
        <v>267</v>
      </c>
      <c r="D26" t="s">
        <v>278</v>
      </c>
      <c r="E26">
        <v>111</v>
      </c>
      <c r="F26" s="28">
        <v>28614</v>
      </c>
      <c r="G26">
        <v>185</v>
      </c>
      <c r="H26" s="141">
        <v>78</v>
      </c>
      <c r="I26" s="141">
        <v>0</v>
      </c>
      <c r="J26" s="141">
        <v>34</v>
      </c>
      <c r="K26" s="141">
        <v>1.3</v>
      </c>
      <c r="L26" s="141">
        <v>35.4</v>
      </c>
    </row>
    <row r="27" spans="1:12" x14ac:dyDescent="0.3">
      <c r="A27">
        <v>1</v>
      </c>
      <c r="B27" t="s">
        <v>631</v>
      </c>
      <c r="C27" t="s">
        <v>639</v>
      </c>
      <c r="D27" t="s">
        <v>276</v>
      </c>
      <c r="E27">
        <v>201</v>
      </c>
      <c r="F27" s="28">
        <v>28397</v>
      </c>
      <c r="G27">
        <v>180</v>
      </c>
      <c r="H27" s="141">
        <v>78</v>
      </c>
      <c r="I27">
        <v>0</v>
      </c>
      <c r="J27">
        <v>36</v>
      </c>
      <c r="K27">
        <v>1.6</v>
      </c>
      <c r="L27">
        <v>105</v>
      </c>
    </row>
    <row r="28" spans="1:12" x14ac:dyDescent="0.3">
      <c r="A28">
        <v>0</v>
      </c>
      <c r="B28" t="s">
        <v>262</v>
      </c>
      <c r="C28" t="s">
        <v>274</v>
      </c>
      <c r="D28" t="s">
        <v>276</v>
      </c>
      <c r="E28">
        <v>111</v>
      </c>
      <c r="F28" s="28">
        <v>29103</v>
      </c>
      <c r="G28">
        <v>180</v>
      </c>
      <c r="H28" s="141">
        <v>80</v>
      </c>
      <c r="I28">
        <v>0</v>
      </c>
      <c r="J28">
        <v>29</v>
      </c>
      <c r="K28">
        <v>1.3</v>
      </c>
      <c r="L28">
        <v>54</v>
      </c>
    </row>
    <row r="29" spans="1:12" x14ac:dyDescent="0.3">
      <c r="A29">
        <v>0</v>
      </c>
      <c r="B29" t="s">
        <v>648</v>
      </c>
      <c r="C29" t="s">
        <v>650</v>
      </c>
      <c r="D29" t="s">
        <v>276</v>
      </c>
      <c r="E29">
        <v>211</v>
      </c>
      <c r="F29" s="28">
        <v>27496</v>
      </c>
      <c r="G29">
        <v>178</v>
      </c>
      <c r="H29" s="141">
        <v>69</v>
      </c>
      <c r="I29" s="141">
        <v>1</v>
      </c>
      <c r="J29" s="141">
        <v>45</v>
      </c>
      <c r="K29" s="141">
        <v>1.4</v>
      </c>
      <c r="L29" s="141">
        <v>68.2</v>
      </c>
    </row>
    <row r="30" spans="1:12" x14ac:dyDescent="0.3">
      <c r="A30">
        <v>1</v>
      </c>
      <c r="B30" t="s">
        <v>252</v>
      </c>
      <c r="C30" t="s">
        <v>195</v>
      </c>
      <c r="D30" t="s">
        <v>276</v>
      </c>
      <c r="E30">
        <v>111</v>
      </c>
      <c r="F30" s="28">
        <v>26879</v>
      </c>
      <c r="G30">
        <v>185</v>
      </c>
      <c r="H30">
        <v>75</v>
      </c>
      <c r="I30">
        <v>0</v>
      </c>
      <c r="J30">
        <v>36</v>
      </c>
      <c r="K30">
        <v>1.2</v>
      </c>
      <c r="L30">
        <v>43.2</v>
      </c>
    </row>
    <row r="31" spans="1:12" x14ac:dyDescent="0.3">
      <c r="A31">
        <v>0</v>
      </c>
      <c r="B31" t="s">
        <v>632</v>
      </c>
      <c r="C31" t="s">
        <v>268</v>
      </c>
      <c r="D31" t="s">
        <v>276</v>
      </c>
      <c r="E31">
        <v>111</v>
      </c>
      <c r="F31" s="28">
        <v>29103</v>
      </c>
      <c r="G31">
        <v>180</v>
      </c>
      <c r="H31" s="141">
        <v>80</v>
      </c>
      <c r="I31">
        <v>0</v>
      </c>
      <c r="J31">
        <v>29</v>
      </c>
      <c r="K31">
        <v>1.3</v>
      </c>
      <c r="L31">
        <v>54</v>
      </c>
    </row>
    <row r="32" spans="1:12" x14ac:dyDescent="0.3">
      <c r="A32">
        <v>1</v>
      </c>
      <c r="B32" t="s">
        <v>257</v>
      </c>
      <c r="C32" t="s">
        <v>269</v>
      </c>
      <c r="D32" t="s">
        <v>276</v>
      </c>
      <c r="E32">
        <v>201</v>
      </c>
      <c r="F32" s="28">
        <v>28397</v>
      </c>
      <c r="G32">
        <v>180</v>
      </c>
      <c r="H32" s="141">
        <v>78</v>
      </c>
      <c r="I32">
        <v>0</v>
      </c>
      <c r="J32">
        <v>36</v>
      </c>
      <c r="K32">
        <v>1.6</v>
      </c>
      <c r="L32">
        <v>105</v>
      </c>
    </row>
    <row r="33" spans="6:8" x14ac:dyDescent="0.3">
      <c r="F33" s="28"/>
      <c r="H33" s="141"/>
    </row>
    <row r="34" spans="6:8" x14ac:dyDescent="0.3">
      <c r="F34" s="28"/>
      <c r="H34" s="141"/>
    </row>
  </sheetData>
  <sortState ref="A4:L32">
    <sortCondition ref="D4:D32"/>
  </sortState>
  <dataValidations count="3">
    <dataValidation type="list" allowBlank="1" showInputMessage="1" showErrorMessage="1" sqref="E33:E34 E24:E25 E26 E31 E12:E13 E4 E17:E18 E19:E20 E5:E11 E14 E21 E22:E23 E15:E16 E27 E28:E29 E30 E32">
      <formula1>"101,111,201,211,311"</formula1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33:G34 G24:G25 G26 G31 G12:G13 G4 G17:G18 G19:G20 G5:G11 G14 G21 G22:G23 G15:G16 G27 G28:G29 G30 G32">
      <formula1>150</formula1>
      <formula2>190</formula2>
    </dataValidation>
    <dataValidation type="whole" allowBlank="1" showInputMessage="1" showErrorMessage="1" sqref="H33:H34 H24:H25 H26 H31 H12:H13 H4 H17:H18 H19:H20 H5:H11 H14 H21 H22:H23 H15:H16 H27 H28:H29 H30 H32">
      <formula1>50</formula1>
      <formula2>100</formula2>
    </dataValidation>
  </dataValidations>
  <hyperlinks>
    <hyperlink ref="N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">
    <tabColor rgb="FF92D050"/>
  </sheetPr>
  <dimension ref="A1:L23"/>
  <sheetViews>
    <sheetView workbookViewId="0">
      <selection activeCell="A52" sqref="A52"/>
    </sheetView>
  </sheetViews>
  <sheetFormatPr defaultRowHeight="14.4" outlineLevelRow="2" x14ac:dyDescent="0.3"/>
  <cols>
    <col min="6" max="6" width="12.88671875" customWidth="1"/>
  </cols>
  <sheetData>
    <row r="1" spans="1:12" ht="21" x14ac:dyDescent="0.4">
      <c r="A1" s="38" t="s">
        <v>290</v>
      </c>
    </row>
    <row r="3" spans="1:12" ht="15" thickBot="1" x14ac:dyDescent="0.35">
      <c r="A3" s="58" t="s">
        <v>243</v>
      </c>
      <c r="B3" s="58" t="s">
        <v>178</v>
      </c>
      <c r="C3" s="58" t="s">
        <v>244</v>
      </c>
      <c r="D3" s="58" t="s">
        <v>245</v>
      </c>
      <c r="E3" s="58" t="s">
        <v>246</v>
      </c>
      <c r="F3" s="58" t="s">
        <v>1</v>
      </c>
      <c r="G3" s="58" t="s">
        <v>247</v>
      </c>
      <c r="H3" s="59" t="s">
        <v>248</v>
      </c>
      <c r="I3" s="58" t="s">
        <v>249</v>
      </c>
      <c r="J3" s="58" t="s">
        <v>250</v>
      </c>
      <c r="K3" s="58" t="s">
        <v>282</v>
      </c>
      <c r="L3" s="58" t="s">
        <v>251</v>
      </c>
    </row>
    <row r="4" spans="1:12" outlineLevel="2" x14ac:dyDescent="0.3">
      <c r="A4">
        <v>0</v>
      </c>
      <c r="B4" t="s">
        <v>262</v>
      </c>
      <c r="C4" t="s">
        <v>274</v>
      </c>
      <c r="D4" t="s">
        <v>276</v>
      </c>
      <c r="E4">
        <v>111</v>
      </c>
      <c r="F4" s="28">
        <v>29103</v>
      </c>
      <c r="G4">
        <v>180</v>
      </c>
      <c r="H4">
        <v>80</v>
      </c>
      <c r="I4">
        <v>0</v>
      </c>
      <c r="J4">
        <v>29</v>
      </c>
      <c r="K4">
        <v>1.3</v>
      </c>
      <c r="L4">
        <v>54</v>
      </c>
    </row>
    <row r="5" spans="1:12" outlineLevel="2" x14ac:dyDescent="0.3">
      <c r="A5">
        <v>1</v>
      </c>
      <c r="B5" t="s">
        <v>252</v>
      </c>
      <c r="C5" t="s">
        <v>195</v>
      </c>
      <c r="D5" t="s">
        <v>276</v>
      </c>
      <c r="E5">
        <v>111</v>
      </c>
      <c r="F5" s="28">
        <v>26879</v>
      </c>
      <c r="G5">
        <v>185</v>
      </c>
      <c r="H5">
        <v>75</v>
      </c>
      <c r="I5">
        <v>0</v>
      </c>
      <c r="J5">
        <v>36</v>
      </c>
      <c r="K5">
        <v>1.2</v>
      </c>
      <c r="L5">
        <v>43.2</v>
      </c>
    </row>
    <row r="6" spans="1:12" outlineLevel="2" x14ac:dyDescent="0.3">
      <c r="A6">
        <v>1</v>
      </c>
      <c r="B6" t="s">
        <v>257</v>
      </c>
      <c r="C6" t="s">
        <v>269</v>
      </c>
      <c r="D6" t="s">
        <v>276</v>
      </c>
      <c r="E6">
        <v>201</v>
      </c>
      <c r="F6" s="28">
        <v>28397</v>
      </c>
      <c r="G6">
        <v>180</v>
      </c>
      <c r="H6">
        <v>78</v>
      </c>
      <c r="I6">
        <v>0</v>
      </c>
      <c r="J6">
        <v>36</v>
      </c>
      <c r="K6">
        <v>1.6</v>
      </c>
      <c r="L6">
        <v>105</v>
      </c>
    </row>
    <row r="7" spans="1:12" outlineLevel="1" x14ac:dyDescent="0.3">
      <c r="D7" s="34" t="s">
        <v>292</v>
      </c>
      <c r="F7" s="28"/>
      <c r="G7">
        <f>SUBTOTAL(1,G4:G6)</f>
        <v>181.66666666666666</v>
      </c>
      <c r="H7">
        <f>SUBTOTAL(1,H4:H6)</f>
        <v>77.666666666666671</v>
      </c>
    </row>
    <row r="8" spans="1:12" outlineLevel="2" x14ac:dyDescent="0.3">
      <c r="A8">
        <v>0</v>
      </c>
      <c r="B8" t="s">
        <v>261</v>
      </c>
      <c r="C8" t="s">
        <v>273</v>
      </c>
      <c r="D8" t="s">
        <v>277</v>
      </c>
      <c r="E8">
        <v>111</v>
      </c>
      <c r="F8" s="28">
        <v>28624</v>
      </c>
      <c r="G8">
        <v>185</v>
      </c>
      <c r="H8">
        <v>76</v>
      </c>
      <c r="I8">
        <v>1</v>
      </c>
      <c r="J8">
        <v>44</v>
      </c>
      <c r="K8">
        <v>1.5</v>
      </c>
      <c r="L8">
        <v>46.4</v>
      </c>
    </row>
    <row r="9" spans="1:12" outlineLevel="2" x14ac:dyDescent="0.3">
      <c r="A9">
        <v>0</v>
      </c>
      <c r="B9" t="s">
        <v>253</v>
      </c>
      <c r="C9" t="s">
        <v>264</v>
      </c>
      <c r="D9" t="s">
        <v>277</v>
      </c>
      <c r="E9">
        <v>201</v>
      </c>
      <c r="F9" s="28">
        <v>26912</v>
      </c>
      <c r="G9">
        <v>180</v>
      </c>
      <c r="H9">
        <v>78</v>
      </c>
      <c r="I9">
        <v>1</v>
      </c>
      <c r="J9">
        <v>45</v>
      </c>
      <c r="K9">
        <v>1.4</v>
      </c>
      <c r="L9">
        <v>67.5</v>
      </c>
    </row>
    <row r="10" spans="1:12" outlineLevel="2" x14ac:dyDescent="0.3">
      <c r="A10">
        <v>0</v>
      </c>
      <c r="B10" t="s">
        <v>263</v>
      </c>
      <c r="C10" t="s">
        <v>275</v>
      </c>
      <c r="D10" t="s">
        <v>277</v>
      </c>
      <c r="E10">
        <v>101</v>
      </c>
      <c r="F10" s="28">
        <v>28160</v>
      </c>
      <c r="G10">
        <v>179</v>
      </c>
      <c r="H10">
        <v>78</v>
      </c>
      <c r="I10">
        <v>1</v>
      </c>
      <c r="J10">
        <v>36</v>
      </c>
      <c r="K10">
        <v>1.4</v>
      </c>
      <c r="L10">
        <v>54.2</v>
      </c>
    </row>
    <row r="11" spans="1:12" outlineLevel="2" x14ac:dyDescent="0.3">
      <c r="A11">
        <v>0</v>
      </c>
      <c r="B11" t="s">
        <v>258</v>
      </c>
      <c r="C11" t="s">
        <v>270</v>
      </c>
      <c r="D11" t="s">
        <v>277</v>
      </c>
      <c r="E11">
        <v>211</v>
      </c>
      <c r="F11" s="28">
        <v>28622</v>
      </c>
      <c r="G11">
        <v>176</v>
      </c>
      <c r="H11">
        <v>68</v>
      </c>
      <c r="I11">
        <v>0</v>
      </c>
      <c r="J11">
        <v>75</v>
      </c>
      <c r="K11">
        <v>1.3</v>
      </c>
      <c r="L11">
        <v>79.2</v>
      </c>
    </row>
    <row r="12" spans="1:12" outlineLevel="1" x14ac:dyDescent="0.3">
      <c r="D12" s="34" t="s">
        <v>293</v>
      </c>
      <c r="F12" s="28"/>
      <c r="G12">
        <f>SUBTOTAL(1,G8:G11)</f>
        <v>180</v>
      </c>
      <c r="H12">
        <f>SUBTOTAL(1,H8:H11)</f>
        <v>75</v>
      </c>
    </row>
    <row r="13" spans="1:12" outlineLevel="2" x14ac:dyDescent="0.3">
      <c r="A13">
        <v>0</v>
      </c>
      <c r="B13" t="s">
        <v>256</v>
      </c>
      <c r="C13" t="s">
        <v>268</v>
      </c>
      <c r="D13" t="s">
        <v>279</v>
      </c>
      <c r="E13">
        <v>311</v>
      </c>
      <c r="F13" s="28">
        <v>28697</v>
      </c>
      <c r="G13">
        <v>182</v>
      </c>
      <c r="H13">
        <v>54</v>
      </c>
      <c r="I13">
        <v>1</v>
      </c>
      <c r="J13">
        <v>64</v>
      </c>
      <c r="K13">
        <v>1.1000000000000001</v>
      </c>
      <c r="L13">
        <v>83.2</v>
      </c>
    </row>
    <row r="14" spans="1:12" outlineLevel="2" x14ac:dyDescent="0.3">
      <c r="A14">
        <v>0</v>
      </c>
      <c r="B14" t="s">
        <v>259</v>
      </c>
      <c r="C14" t="s">
        <v>271</v>
      </c>
      <c r="D14" t="s">
        <v>279</v>
      </c>
      <c r="E14">
        <v>211</v>
      </c>
      <c r="F14" s="28">
        <v>28725</v>
      </c>
      <c r="G14">
        <v>175</v>
      </c>
      <c r="H14">
        <v>56</v>
      </c>
      <c r="I14">
        <v>0</v>
      </c>
      <c r="J14">
        <v>66</v>
      </c>
      <c r="K14">
        <v>1.4</v>
      </c>
      <c r="L14">
        <v>46.9</v>
      </c>
    </row>
    <row r="15" spans="1:12" outlineLevel="2" x14ac:dyDescent="0.3">
      <c r="A15">
        <v>1</v>
      </c>
      <c r="B15" t="s">
        <v>254</v>
      </c>
      <c r="C15" t="s">
        <v>266</v>
      </c>
      <c r="D15" t="s">
        <v>279</v>
      </c>
      <c r="E15">
        <v>111</v>
      </c>
      <c r="F15" s="28">
        <v>28564</v>
      </c>
      <c r="G15">
        <v>182</v>
      </c>
      <c r="H15">
        <v>76</v>
      </c>
      <c r="I15">
        <v>0</v>
      </c>
      <c r="J15">
        <v>22</v>
      </c>
      <c r="K15">
        <v>1.2</v>
      </c>
      <c r="L15">
        <v>72.8</v>
      </c>
    </row>
    <row r="16" spans="1:12" outlineLevel="1" x14ac:dyDescent="0.3">
      <c r="D16" s="34" t="s">
        <v>294</v>
      </c>
      <c r="F16" s="28"/>
      <c r="G16">
        <f>SUBTOTAL(1,G13:G15)</f>
        <v>179.66666666666666</v>
      </c>
      <c r="H16">
        <f>SUBTOTAL(1,H13:H15)</f>
        <v>62</v>
      </c>
    </row>
    <row r="17" spans="1:12" outlineLevel="2" x14ac:dyDescent="0.3">
      <c r="A17">
        <v>0</v>
      </c>
      <c r="B17" t="s">
        <v>255</v>
      </c>
      <c r="C17" t="s">
        <v>265</v>
      </c>
      <c r="D17" t="s">
        <v>278</v>
      </c>
      <c r="E17">
        <v>211</v>
      </c>
      <c r="F17" s="28">
        <v>28527</v>
      </c>
      <c r="G17">
        <v>175</v>
      </c>
      <c r="H17">
        <v>86</v>
      </c>
      <c r="I17">
        <v>0</v>
      </c>
      <c r="J17">
        <v>31</v>
      </c>
      <c r="K17">
        <v>1.5</v>
      </c>
      <c r="L17">
        <v>40.299999999999997</v>
      </c>
    </row>
    <row r="18" spans="1:12" outlineLevel="2" x14ac:dyDescent="0.3">
      <c r="A18">
        <v>1</v>
      </c>
      <c r="B18" t="s">
        <v>260</v>
      </c>
      <c r="C18" t="s">
        <v>272</v>
      </c>
      <c r="D18" t="s">
        <v>278</v>
      </c>
      <c r="E18">
        <v>311</v>
      </c>
      <c r="F18" s="28">
        <v>28197</v>
      </c>
      <c r="G18">
        <v>182</v>
      </c>
      <c r="H18">
        <v>55</v>
      </c>
      <c r="I18">
        <v>1</v>
      </c>
      <c r="J18">
        <v>36</v>
      </c>
      <c r="K18">
        <v>1.5</v>
      </c>
      <c r="L18">
        <v>61.6</v>
      </c>
    </row>
    <row r="19" spans="1:12" outlineLevel="1" x14ac:dyDescent="0.3">
      <c r="D19" s="34" t="s">
        <v>295</v>
      </c>
      <c r="F19" s="28"/>
      <c r="G19">
        <f>SUBTOTAL(1,G17:G18)</f>
        <v>178.5</v>
      </c>
      <c r="H19">
        <f>SUBTOTAL(1,H17:H18)</f>
        <v>70.5</v>
      </c>
    </row>
    <row r="20" spans="1:12" outlineLevel="2" x14ac:dyDescent="0.3">
      <c r="A20">
        <v>0</v>
      </c>
      <c r="B20" t="s">
        <v>186</v>
      </c>
      <c r="C20" t="s">
        <v>267</v>
      </c>
      <c r="D20" t="s">
        <v>280</v>
      </c>
      <c r="E20">
        <v>111</v>
      </c>
      <c r="F20" s="28">
        <v>28382</v>
      </c>
      <c r="G20">
        <v>174</v>
      </c>
      <c r="H20">
        <v>65</v>
      </c>
      <c r="I20">
        <v>1</v>
      </c>
      <c r="J20">
        <v>52</v>
      </c>
      <c r="K20">
        <v>1.4</v>
      </c>
      <c r="L20">
        <v>73.7</v>
      </c>
    </row>
    <row r="21" spans="1:12" outlineLevel="2" x14ac:dyDescent="0.3">
      <c r="A21">
        <v>0</v>
      </c>
      <c r="B21" t="s">
        <v>271</v>
      </c>
      <c r="C21" t="s">
        <v>291</v>
      </c>
      <c r="D21" t="s">
        <v>280</v>
      </c>
      <c r="E21">
        <v>111</v>
      </c>
      <c r="F21" s="28">
        <v>28293</v>
      </c>
      <c r="G21">
        <v>177</v>
      </c>
      <c r="H21">
        <v>65</v>
      </c>
      <c r="I21">
        <v>1</v>
      </c>
      <c r="J21">
        <v>45</v>
      </c>
      <c r="K21">
        <v>1.8</v>
      </c>
      <c r="L21">
        <v>98</v>
      </c>
    </row>
    <row r="22" spans="1:12" outlineLevel="1" x14ac:dyDescent="0.3">
      <c r="D22" s="34" t="s">
        <v>296</v>
      </c>
      <c r="F22" s="28"/>
      <c r="G22">
        <f>SUBTOTAL(1,G20:G21)</f>
        <v>175.5</v>
      </c>
      <c r="H22">
        <f>SUBTOTAL(1,H20:H21)</f>
        <v>65</v>
      </c>
    </row>
    <row r="23" spans="1:12" x14ac:dyDescent="0.3">
      <c r="D23" s="34" t="s">
        <v>297</v>
      </c>
      <c r="F23" s="28"/>
      <c r="G23">
        <f>SUBTOTAL(1,G4:G21)</f>
        <v>179.42857142857142</v>
      </c>
      <c r="H23">
        <f>SUBTOTAL(1,H4:H21)</f>
        <v>70.714285714285708</v>
      </c>
    </row>
  </sheetData>
  <dataValidations count="2">
    <dataValidation type="whole" allowBlank="1" showInputMessage="1" showErrorMessage="1" errorTitle="Chybná výška!!!" error="Zadej hodnotu 100 cm - 190 cm" promptTitle="Zadej výšku" prompt="Můžete zadat celočíselnou hodnotu od 150 cm do 190 cm." sqref="G4:G6 G8:G11 G13:G15 G17:G18 G20">
      <formula1>150</formula1>
      <formula2>190</formula2>
    </dataValidation>
    <dataValidation type="list" allowBlank="1" showInputMessage="1" showErrorMessage="1" sqref="E4:E6 E8:E11 E13:E15 E17:E18 E20">
      <formula1>"101,111,201,211,311"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rgb="FF92D050"/>
  </sheetPr>
  <dimension ref="A1:H2"/>
  <sheetViews>
    <sheetView workbookViewId="0">
      <selection activeCell="A2" sqref="A2"/>
    </sheetView>
  </sheetViews>
  <sheetFormatPr defaultRowHeight="14.4" x14ac:dyDescent="0.3"/>
  <cols>
    <col min="1" max="1" width="19.109375" bestFit="1" customWidth="1"/>
    <col min="2" max="2" width="18" bestFit="1" customWidth="1"/>
    <col min="3" max="3" width="15" bestFit="1" customWidth="1"/>
    <col min="4" max="4" width="8.44140625" customWidth="1"/>
    <col min="5" max="5" width="24.88671875" bestFit="1" customWidth="1"/>
  </cols>
  <sheetData>
    <row r="1" spans="1:8" ht="21" x14ac:dyDescent="0.4">
      <c r="A1" s="38" t="s">
        <v>298</v>
      </c>
      <c r="H1" s="182" t="s">
        <v>1148</v>
      </c>
    </row>
    <row r="2" spans="1:8" x14ac:dyDescent="0.3">
      <c r="A2" t="s">
        <v>1150</v>
      </c>
    </row>
  </sheetData>
  <hyperlinks>
    <hyperlink ref="H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rgb="FF92D050"/>
  </sheetPr>
  <dimension ref="A1:G12"/>
  <sheetViews>
    <sheetView workbookViewId="0">
      <selection activeCell="F8" sqref="F8"/>
    </sheetView>
  </sheetViews>
  <sheetFormatPr defaultRowHeight="14.4" x14ac:dyDescent="0.3"/>
  <cols>
    <col min="1" max="1" width="15.6640625" customWidth="1"/>
    <col min="2" max="2" width="17.5546875" bestFit="1" customWidth="1"/>
    <col min="3" max="6" width="5.5546875" customWidth="1"/>
    <col min="7" max="7" width="15.109375" customWidth="1"/>
  </cols>
  <sheetData>
    <row r="1" spans="1:7" x14ac:dyDescent="0.3">
      <c r="A1" s="60" t="s">
        <v>243</v>
      </c>
      <c r="B1" t="s">
        <v>304</v>
      </c>
    </row>
    <row r="3" spans="1:7" x14ac:dyDescent="0.3">
      <c r="A3" s="60" t="s">
        <v>683</v>
      </c>
      <c r="B3" s="60" t="s">
        <v>301</v>
      </c>
    </row>
    <row r="4" spans="1:7" x14ac:dyDescent="0.3">
      <c r="A4" s="60" t="s">
        <v>303</v>
      </c>
      <c r="B4">
        <v>101</v>
      </c>
      <c r="C4">
        <v>111</v>
      </c>
      <c r="D4">
        <v>201</v>
      </c>
      <c r="E4">
        <v>211</v>
      </c>
      <c r="F4">
        <v>311</v>
      </c>
      <c r="G4" t="s">
        <v>297</v>
      </c>
    </row>
    <row r="5" spans="1:7" x14ac:dyDescent="0.3">
      <c r="A5" s="61" t="s">
        <v>276</v>
      </c>
      <c r="B5" s="56"/>
      <c r="C5" s="56">
        <v>78.333333333333329</v>
      </c>
      <c r="D5" s="56">
        <v>78</v>
      </c>
      <c r="E5" s="56">
        <v>69</v>
      </c>
      <c r="F5" s="56"/>
      <c r="G5" s="56">
        <v>76.666666666666671</v>
      </c>
    </row>
    <row r="6" spans="1:7" x14ac:dyDescent="0.3">
      <c r="A6" s="61" t="s">
        <v>279</v>
      </c>
      <c r="B6" s="56"/>
      <c r="C6" s="56">
        <v>76</v>
      </c>
      <c r="D6" s="56">
        <v>51</v>
      </c>
      <c r="E6" s="56">
        <v>56</v>
      </c>
      <c r="F6" s="56"/>
      <c r="G6" s="56">
        <v>59.75</v>
      </c>
    </row>
    <row r="7" spans="1:7" x14ac:dyDescent="0.3">
      <c r="A7" s="61" t="s">
        <v>277</v>
      </c>
      <c r="B7" s="56">
        <v>78</v>
      </c>
      <c r="C7" s="56">
        <v>76</v>
      </c>
      <c r="D7" s="56">
        <v>78</v>
      </c>
      <c r="E7" s="56">
        <v>68</v>
      </c>
      <c r="F7" s="56"/>
      <c r="G7" s="56">
        <v>74.857142857142861</v>
      </c>
    </row>
    <row r="8" spans="1:7" x14ac:dyDescent="0.3">
      <c r="A8" s="61" t="s">
        <v>280</v>
      </c>
      <c r="B8" s="56"/>
      <c r="C8" s="56">
        <v>65</v>
      </c>
      <c r="D8" s="56"/>
      <c r="E8" s="56"/>
      <c r="F8" s="56"/>
      <c r="G8" s="56">
        <v>65</v>
      </c>
    </row>
    <row r="9" spans="1:7" x14ac:dyDescent="0.3">
      <c r="A9" s="61" t="s">
        <v>622</v>
      </c>
      <c r="B9" s="56">
        <v>72</v>
      </c>
      <c r="C9" s="56"/>
      <c r="D9" s="56"/>
      <c r="E9" s="56"/>
      <c r="F9" s="56"/>
      <c r="G9" s="56">
        <v>72</v>
      </c>
    </row>
    <row r="10" spans="1:7" x14ac:dyDescent="0.3">
      <c r="A10" s="61" t="s">
        <v>281</v>
      </c>
      <c r="B10" s="56">
        <v>65</v>
      </c>
      <c r="C10" s="56"/>
      <c r="D10" s="56"/>
      <c r="E10" s="56"/>
      <c r="F10" s="56">
        <v>54</v>
      </c>
      <c r="G10" s="56">
        <v>57.666666666666664</v>
      </c>
    </row>
    <row r="11" spans="1:7" x14ac:dyDescent="0.3">
      <c r="A11" s="61" t="s">
        <v>278</v>
      </c>
      <c r="B11" s="56">
        <v>56</v>
      </c>
      <c r="C11" s="56">
        <v>78</v>
      </c>
      <c r="D11" s="56"/>
      <c r="E11" s="56">
        <v>86</v>
      </c>
      <c r="F11" s="56">
        <v>55</v>
      </c>
      <c r="G11" s="56">
        <v>69.333333333333329</v>
      </c>
    </row>
    <row r="12" spans="1:7" x14ac:dyDescent="0.3">
      <c r="A12" s="61" t="s">
        <v>297</v>
      </c>
      <c r="B12" s="56">
        <v>69.8</v>
      </c>
      <c r="C12" s="56">
        <v>74.375</v>
      </c>
      <c r="D12" s="56">
        <v>72.599999999999994</v>
      </c>
      <c r="E12" s="56">
        <v>69.857142857142861</v>
      </c>
      <c r="F12" s="56">
        <v>54.5</v>
      </c>
      <c r="G12" s="56">
        <v>69.448275862068968</v>
      </c>
    </row>
  </sheetData>
  <pageMargins left="0.7" right="0.7" top="0.78740157499999996" bottom="0.78740157499999996" header="0.3" footer="0.3"/>
  <pageSetup paperSize="9" orientation="portrait"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1">
    <tabColor rgb="FFFF6600"/>
  </sheetPr>
  <dimension ref="A1:L34"/>
  <sheetViews>
    <sheetView workbookViewId="0">
      <selection activeCell="L1" sqref="L1"/>
    </sheetView>
  </sheetViews>
  <sheetFormatPr defaultRowHeight="14.4" x14ac:dyDescent="0.3"/>
  <cols>
    <col min="2" max="2" width="18.33203125" customWidth="1"/>
    <col min="3" max="3" width="12.33203125" customWidth="1"/>
    <col min="4" max="4" width="13" customWidth="1"/>
    <col min="6" max="6" width="15.6640625" customWidth="1"/>
  </cols>
  <sheetData>
    <row r="1" spans="1:12" ht="21" x14ac:dyDescent="0.4">
      <c r="A1" s="38" t="s">
        <v>299</v>
      </c>
      <c r="L1" s="182" t="s">
        <v>1148</v>
      </c>
    </row>
    <row r="2" spans="1:12" ht="21" x14ac:dyDescent="0.4">
      <c r="A2" s="33" t="s">
        <v>300</v>
      </c>
    </row>
    <row r="5" spans="1:12" s="146" customFormat="1" ht="26.25" customHeight="1" thickBot="1" x14ac:dyDescent="0.35">
      <c r="A5" s="151" t="s">
        <v>243</v>
      </c>
      <c r="B5" s="151" t="s">
        <v>178</v>
      </c>
      <c r="C5" s="151" t="s">
        <v>244</v>
      </c>
      <c r="D5" s="151" t="s">
        <v>245</v>
      </c>
      <c r="E5" s="151" t="s">
        <v>246</v>
      </c>
      <c r="F5" s="151" t="s">
        <v>1</v>
      </c>
      <c r="G5" s="151" t="s">
        <v>247</v>
      </c>
      <c r="H5" s="151" t="s">
        <v>248</v>
      </c>
      <c r="I5" s="151" t="s">
        <v>249</v>
      </c>
      <c r="J5" s="151" t="s">
        <v>250</v>
      </c>
      <c r="K5" s="151" t="s">
        <v>282</v>
      </c>
      <c r="L5" s="151" t="s">
        <v>251</v>
      </c>
    </row>
    <row r="6" spans="1:12" x14ac:dyDescent="0.3">
      <c r="A6">
        <v>1</v>
      </c>
      <c r="B6" t="s">
        <v>627</v>
      </c>
      <c r="C6" t="s">
        <v>628</v>
      </c>
      <c r="D6" t="s">
        <v>622</v>
      </c>
      <c r="E6">
        <v>101</v>
      </c>
      <c r="F6" s="28">
        <v>27895</v>
      </c>
      <c r="G6">
        <v>178</v>
      </c>
      <c r="H6" s="141">
        <v>72</v>
      </c>
      <c r="I6" s="141">
        <v>1</v>
      </c>
      <c r="J6" s="141">
        <v>30</v>
      </c>
      <c r="K6" s="141">
        <v>1.5</v>
      </c>
      <c r="L6" s="141">
        <v>70.400000000000006</v>
      </c>
    </row>
    <row r="7" spans="1:12" x14ac:dyDescent="0.3">
      <c r="A7">
        <v>0</v>
      </c>
      <c r="B7" t="s">
        <v>253</v>
      </c>
      <c r="C7" t="s">
        <v>264</v>
      </c>
      <c r="D7" t="s">
        <v>277</v>
      </c>
      <c r="E7">
        <v>201</v>
      </c>
      <c r="F7" s="28">
        <v>26912</v>
      </c>
      <c r="G7">
        <v>180</v>
      </c>
      <c r="H7" s="141">
        <v>78</v>
      </c>
      <c r="I7">
        <v>1</v>
      </c>
      <c r="J7">
        <v>45</v>
      </c>
      <c r="K7">
        <v>1.4</v>
      </c>
      <c r="L7">
        <v>67.5</v>
      </c>
    </row>
    <row r="8" spans="1:12" x14ac:dyDescent="0.3">
      <c r="A8">
        <v>0</v>
      </c>
      <c r="B8" t="s">
        <v>258</v>
      </c>
      <c r="C8" t="s">
        <v>270</v>
      </c>
      <c r="D8" t="s">
        <v>277</v>
      </c>
      <c r="E8">
        <v>211</v>
      </c>
      <c r="F8" s="28">
        <v>28622</v>
      </c>
      <c r="G8">
        <v>176</v>
      </c>
      <c r="H8" s="141">
        <v>68</v>
      </c>
      <c r="I8">
        <v>0</v>
      </c>
      <c r="J8">
        <v>75</v>
      </c>
      <c r="K8">
        <v>1.3</v>
      </c>
      <c r="L8">
        <v>79.2</v>
      </c>
    </row>
    <row r="9" spans="1:12" x14ac:dyDescent="0.3">
      <c r="A9">
        <v>0</v>
      </c>
      <c r="B9" t="s">
        <v>261</v>
      </c>
      <c r="C9" t="s">
        <v>273</v>
      </c>
      <c r="D9" t="s">
        <v>277</v>
      </c>
      <c r="E9">
        <v>111</v>
      </c>
      <c r="F9" s="28">
        <v>28624</v>
      </c>
      <c r="G9">
        <v>185</v>
      </c>
      <c r="H9" s="141">
        <v>76</v>
      </c>
      <c r="I9">
        <v>1</v>
      </c>
      <c r="J9">
        <v>44</v>
      </c>
      <c r="K9">
        <v>1.5</v>
      </c>
      <c r="L9">
        <v>46.4</v>
      </c>
    </row>
    <row r="10" spans="1:12" x14ac:dyDescent="0.3">
      <c r="A10">
        <v>0</v>
      </c>
      <c r="B10" t="s">
        <v>633</v>
      </c>
      <c r="C10" t="s">
        <v>640</v>
      </c>
      <c r="D10" t="s">
        <v>277</v>
      </c>
      <c r="E10">
        <v>101</v>
      </c>
      <c r="F10" s="28">
        <v>28160</v>
      </c>
      <c r="G10">
        <v>179</v>
      </c>
      <c r="H10" s="141">
        <v>78</v>
      </c>
      <c r="I10">
        <v>1</v>
      </c>
      <c r="J10">
        <v>36</v>
      </c>
      <c r="K10">
        <v>1.4</v>
      </c>
      <c r="L10">
        <v>54.2</v>
      </c>
    </row>
    <row r="11" spans="1:12" x14ac:dyDescent="0.3">
      <c r="A11">
        <v>0</v>
      </c>
      <c r="B11" t="s">
        <v>630</v>
      </c>
      <c r="C11" t="s">
        <v>638</v>
      </c>
      <c r="D11" t="s">
        <v>277</v>
      </c>
      <c r="E11">
        <v>201</v>
      </c>
      <c r="F11" s="28">
        <v>26912</v>
      </c>
      <c r="G11">
        <v>180</v>
      </c>
      <c r="H11" s="141">
        <v>78</v>
      </c>
      <c r="I11">
        <v>1</v>
      </c>
      <c r="J11">
        <v>45</v>
      </c>
      <c r="K11">
        <v>1.4</v>
      </c>
      <c r="L11">
        <v>67.5</v>
      </c>
    </row>
    <row r="12" spans="1:12" x14ac:dyDescent="0.3">
      <c r="A12">
        <v>0</v>
      </c>
      <c r="B12" t="s">
        <v>634</v>
      </c>
      <c r="C12" t="s">
        <v>641</v>
      </c>
      <c r="D12" t="s">
        <v>277</v>
      </c>
      <c r="E12">
        <v>211</v>
      </c>
      <c r="F12" s="28">
        <v>28622</v>
      </c>
      <c r="G12">
        <v>175</v>
      </c>
      <c r="H12" s="141">
        <v>68</v>
      </c>
      <c r="I12">
        <v>0</v>
      </c>
      <c r="J12">
        <v>75</v>
      </c>
      <c r="K12">
        <v>1.3</v>
      </c>
      <c r="L12">
        <v>79.2</v>
      </c>
    </row>
    <row r="13" spans="1:12" x14ac:dyDescent="0.3">
      <c r="A13">
        <v>0</v>
      </c>
      <c r="B13" t="s">
        <v>263</v>
      </c>
      <c r="C13" t="s">
        <v>275</v>
      </c>
      <c r="D13" t="s">
        <v>277</v>
      </c>
      <c r="E13">
        <v>101</v>
      </c>
      <c r="F13" s="28">
        <v>28160</v>
      </c>
      <c r="G13">
        <v>179</v>
      </c>
      <c r="H13" s="141">
        <v>78</v>
      </c>
      <c r="I13">
        <v>1</v>
      </c>
      <c r="J13">
        <v>36</v>
      </c>
      <c r="K13">
        <v>1.4</v>
      </c>
      <c r="L13">
        <v>54.2</v>
      </c>
    </row>
    <row r="14" spans="1:12" x14ac:dyDescent="0.3">
      <c r="A14">
        <v>0</v>
      </c>
      <c r="B14" t="s">
        <v>256</v>
      </c>
      <c r="C14" t="s">
        <v>268</v>
      </c>
      <c r="D14" t="s">
        <v>281</v>
      </c>
      <c r="E14">
        <v>311</v>
      </c>
      <c r="F14" s="28">
        <v>28697</v>
      </c>
      <c r="G14">
        <v>182</v>
      </c>
      <c r="H14" s="141">
        <v>54</v>
      </c>
      <c r="I14">
        <v>1</v>
      </c>
      <c r="J14">
        <v>64</v>
      </c>
      <c r="K14">
        <v>1.1000000000000001</v>
      </c>
      <c r="L14">
        <v>83.2</v>
      </c>
    </row>
    <row r="15" spans="1:12" x14ac:dyDescent="0.3">
      <c r="A15">
        <v>0</v>
      </c>
      <c r="B15" t="s">
        <v>626</v>
      </c>
      <c r="C15" t="s">
        <v>416</v>
      </c>
      <c r="D15" t="s">
        <v>281</v>
      </c>
      <c r="E15">
        <v>311</v>
      </c>
      <c r="F15" s="28">
        <v>28697</v>
      </c>
      <c r="G15">
        <v>182</v>
      </c>
      <c r="H15" s="141">
        <v>54</v>
      </c>
      <c r="I15">
        <v>1</v>
      </c>
      <c r="J15">
        <v>64</v>
      </c>
      <c r="K15">
        <v>1.1000000000000001</v>
      </c>
      <c r="L15">
        <v>83.2</v>
      </c>
    </row>
    <row r="16" spans="1:12" x14ac:dyDescent="0.3">
      <c r="A16">
        <v>1</v>
      </c>
      <c r="B16" t="s">
        <v>649</v>
      </c>
      <c r="C16" t="s">
        <v>651</v>
      </c>
      <c r="D16" t="s">
        <v>281</v>
      </c>
      <c r="E16">
        <v>101</v>
      </c>
      <c r="F16" s="28">
        <v>28271</v>
      </c>
      <c r="G16">
        <v>152</v>
      </c>
      <c r="H16" s="141">
        <v>65</v>
      </c>
      <c r="I16" s="141">
        <v>1</v>
      </c>
      <c r="J16" s="141">
        <v>29</v>
      </c>
      <c r="K16" s="141">
        <v>1.2</v>
      </c>
      <c r="L16" s="141">
        <v>41.9</v>
      </c>
    </row>
    <row r="17" spans="1:12" x14ac:dyDescent="0.3">
      <c r="A17">
        <v>0</v>
      </c>
      <c r="B17" t="s">
        <v>186</v>
      </c>
      <c r="C17" t="s">
        <v>267</v>
      </c>
      <c r="D17" t="s">
        <v>280</v>
      </c>
      <c r="E17">
        <v>111</v>
      </c>
      <c r="F17" s="28">
        <v>28382</v>
      </c>
      <c r="G17">
        <v>164</v>
      </c>
      <c r="H17">
        <v>65</v>
      </c>
      <c r="I17">
        <v>1</v>
      </c>
      <c r="J17">
        <v>52</v>
      </c>
      <c r="K17">
        <v>1.4</v>
      </c>
      <c r="L17">
        <v>73.7</v>
      </c>
    </row>
    <row r="18" spans="1:12" x14ac:dyDescent="0.3">
      <c r="A18">
        <v>0</v>
      </c>
      <c r="B18" t="s">
        <v>637</v>
      </c>
      <c r="C18" t="s">
        <v>644</v>
      </c>
      <c r="D18" t="s">
        <v>280</v>
      </c>
      <c r="E18">
        <v>111</v>
      </c>
      <c r="F18" s="28">
        <v>28382</v>
      </c>
      <c r="G18">
        <v>165</v>
      </c>
      <c r="H18">
        <v>65</v>
      </c>
      <c r="I18">
        <v>1</v>
      </c>
      <c r="J18">
        <v>52</v>
      </c>
      <c r="K18">
        <v>1.4</v>
      </c>
      <c r="L18">
        <v>73.7</v>
      </c>
    </row>
    <row r="19" spans="1:12" x14ac:dyDescent="0.3">
      <c r="A19">
        <v>1</v>
      </c>
      <c r="B19" t="s">
        <v>254</v>
      </c>
      <c r="C19" t="s">
        <v>266</v>
      </c>
      <c r="D19" t="s">
        <v>279</v>
      </c>
      <c r="E19">
        <v>111</v>
      </c>
      <c r="F19" s="28">
        <v>28564</v>
      </c>
      <c r="G19">
        <v>182</v>
      </c>
      <c r="H19" s="141">
        <v>76</v>
      </c>
      <c r="I19">
        <v>0</v>
      </c>
      <c r="J19">
        <v>22</v>
      </c>
      <c r="K19">
        <v>1.2</v>
      </c>
      <c r="L19">
        <v>72.8</v>
      </c>
    </row>
    <row r="20" spans="1:12" x14ac:dyDescent="0.3">
      <c r="A20">
        <v>1</v>
      </c>
      <c r="B20" t="s">
        <v>646</v>
      </c>
      <c r="C20" t="s">
        <v>550</v>
      </c>
      <c r="D20" t="s">
        <v>279</v>
      </c>
      <c r="E20">
        <v>201</v>
      </c>
      <c r="F20" s="28">
        <v>28743</v>
      </c>
      <c r="G20">
        <v>156</v>
      </c>
      <c r="H20" s="141">
        <v>51</v>
      </c>
      <c r="I20" s="141">
        <v>0</v>
      </c>
      <c r="J20" s="141">
        <v>56</v>
      </c>
      <c r="K20" s="141">
        <v>1.2</v>
      </c>
      <c r="L20" s="141">
        <v>74.2</v>
      </c>
    </row>
    <row r="21" spans="1:12" x14ac:dyDescent="0.3">
      <c r="A21">
        <v>0</v>
      </c>
      <c r="B21" t="s">
        <v>259</v>
      </c>
      <c r="C21" t="s">
        <v>271</v>
      </c>
      <c r="D21" t="s">
        <v>279</v>
      </c>
      <c r="E21">
        <v>211</v>
      </c>
      <c r="F21" s="28">
        <v>28725</v>
      </c>
      <c r="G21">
        <v>174</v>
      </c>
      <c r="H21">
        <v>56</v>
      </c>
      <c r="I21">
        <v>0</v>
      </c>
      <c r="J21">
        <v>66</v>
      </c>
      <c r="K21">
        <v>1.4</v>
      </c>
      <c r="L21">
        <v>46.9</v>
      </c>
    </row>
    <row r="22" spans="1:12" x14ac:dyDescent="0.3">
      <c r="A22">
        <v>0</v>
      </c>
      <c r="B22" t="s">
        <v>636</v>
      </c>
      <c r="C22" t="s">
        <v>643</v>
      </c>
      <c r="D22" t="s">
        <v>279</v>
      </c>
      <c r="E22">
        <v>211</v>
      </c>
      <c r="F22" s="28">
        <v>28725</v>
      </c>
      <c r="G22">
        <v>170</v>
      </c>
      <c r="H22">
        <v>56</v>
      </c>
      <c r="I22">
        <v>0</v>
      </c>
      <c r="J22">
        <v>66</v>
      </c>
      <c r="K22">
        <v>1.4</v>
      </c>
      <c r="L22">
        <v>46.9</v>
      </c>
    </row>
    <row r="23" spans="1:12" x14ac:dyDescent="0.3">
      <c r="A23">
        <v>1</v>
      </c>
      <c r="B23" t="s">
        <v>645</v>
      </c>
      <c r="C23" t="s">
        <v>266</v>
      </c>
      <c r="D23" t="s">
        <v>278</v>
      </c>
      <c r="E23">
        <v>101</v>
      </c>
      <c r="F23" s="28">
        <v>28403</v>
      </c>
      <c r="G23">
        <v>154</v>
      </c>
      <c r="H23" s="141">
        <v>56</v>
      </c>
      <c r="I23" s="141">
        <v>0</v>
      </c>
      <c r="J23" s="141">
        <v>34</v>
      </c>
      <c r="K23" s="141">
        <v>1.1000000000000001</v>
      </c>
      <c r="L23" s="141">
        <v>54.6</v>
      </c>
    </row>
    <row r="24" spans="1:12" x14ac:dyDescent="0.3">
      <c r="A24">
        <v>0</v>
      </c>
      <c r="B24" t="s">
        <v>635</v>
      </c>
      <c r="C24" t="s">
        <v>642</v>
      </c>
      <c r="D24" t="s">
        <v>278</v>
      </c>
      <c r="E24">
        <v>211</v>
      </c>
      <c r="F24" s="28">
        <v>28527</v>
      </c>
      <c r="G24">
        <v>168</v>
      </c>
      <c r="H24">
        <v>86</v>
      </c>
      <c r="I24">
        <v>0</v>
      </c>
      <c r="J24">
        <v>31</v>
      </c>
      <c r="K24">
        <v>1.5</v>
      </c>
      <c r="L24">
        <v>40.299999999999997</v>
      </c>
    </row>
    <row r="25" spans="1:12" x14ac:dyDescent="0.3">
      <c r="A25">
        <v>0</v>
      </c>
      <c r="B25" t="s">
        <v>255</v>
      </c>
      <c r="C25" t="s">
        <v>265</v>
      </c>
      <c r="D25" t="s">
        <v>278</v>
      </c>
      <c r="E25">
        <v>211</v>
      </c>
      <c r="F25" s="28">
        <v>28527</v>
      </c>
      <c r="G25">
        <v>172</v>
      </c>
      <c r="H25">
        <v>86</v>
      </c>
      <c r="I25">
        <v>0</v>
      </c>
      <c r="J25">
        <v>31</v>
      </c>
      <c r="K25">
        <v>1.5</v>
      </c>
      <c r="L25">
        <v>40.299999999999997</v>
      </c>
    </row>
    <row r="26" spans="1:12" x14ac:dyDescent="0.3">
      <c r="A26">
        <v>1</v>
      </c>
      <c r="B26" t="s">
        <v>629</v>
      </c>
      <c r="C26" t="s">
        <v>269</v>
      </c>
      <c r="D26" t="s">
        <v>278</v>
      </c>
      <c r="E26">
        <v>311</v>
      </c>
      <c r="F26" s="28">
        <v>28197</v>
      </c>
      <c r="G26">
        <v>182</v>
      </c>
      <c r="H26" s="141">
        <v>55</v>
      </c>
      <c r="I26">
        <v>1</v>
      </c>
      <c r="J26">
        <v>36</v>
      </c>
      <c r="K26">
        <v>1.5</v>
      </c>
      <c r="L26">
        <v>61.6</v>
      </c>
    </row>
    <row r="27" spans="1:12" x14ac:dyDescent="0.3">
      <c r="A27">
        <v>1</v>
      </c>
      <c r="B27" t="s">
        <v>260</v>
      </c>
      <c r="C27" t="s">
        <v>272</v>
      </c>
      <c r="D27" t="s">
        <v>278</v>
      </c>
      <c r="E27">
        <v>311</v>
      </c>
      <c r="F27" s="28">
        <v>28197</v>
      </c>
      <c r="G27">
        <v>182</v>
      </c>
      <c r="H27" s="141">
        <v>55</v>
      </c>
      <c r="I27">
        <v>1</v>
      </c>
      <c r="J27">
        <v>36</v>
      </c>
      <c r="K27">
        <v>1.5</v>
      </c>
      <c r="L27">
        <v>61.6</v>
      </c>
    </row>
    <row r="28" spans="1:12" x14ac:dyDescent="0.3">
      <c r="A28">
        <v>0</v>
      </c>
      <c r="B28" t="s">
        <v>647</v>
      </c>
      <c r="C28" t="s">
        <v>267</v>
      </c>
      <c r="D28" t="s">
        <v>278</v>
      </c>
      <c r="E28">
        <v>111</v>
      </c>
      <c r="F28" s="28">
        <v>28614</v>
      </c>
      <c r="G28">
        <v>185</v>
      </c>
      <c r="H28" s="141">
        <v>78</v>
      </c>
      <c r="I28" s="141">
        <v>0</v>
      </c>
      <c r="J28" s="141">
        <v>34</v>
      </c>
      <c r="K28" s="141">
        <v>1.3</v>
      </c>
      <c r="L28" s="141">
        <v>35.4</v>
      </c>
    </row>
    <row r="29" spans="1:12" x14ac:dyDescent="0.3">
      <c r="A29">
        <v>1</v>
      </c>
      <c r="B29" t="s">
        <v>631</v>
      </c>
      <c r="C29" t="s">
        <v>639</v>
      </c>
      <c r="D29" t="s">
        <v>276</v>
      </c>
      <c r="E29">
        <v>201</v>
      </c>
      <c r="F29" s="28">
        <v>28397</v>
      </c>
      <c r="G29">
        <v>180</v>
      </c>
      <c r="H29" s="141">
        <v>78</v>
      </c>
      <c r="I29">
        <v>0</v>
      </c>
      <c r="J29">
        <v>36</v>
      </c>
      <c r="K29">
        <v>1.6</v>
      </c>
      <c r="L29">
        <v>105</v>
      </c>
    </row>
    <row r="30" spans="1:12" x14ac:dyDescent="0.3">
      <c r="A30">
        <v>0</v>
      </c>
      <c r="B30" t="s">
        <v>262</v>
      </c>
      <c r="C30" t="s">
        <v>274</v>
      </c>
      <c r="D30" t="s">
        <v>276</v>
      </c>
      <c r="E30">
        <v>111</v>
      </c>
      <c r="F30" s="28">
        <v>29103</v>
      </c>
      <c r="G30">
        <v>180</v>
      </c>
      <c r="H30" s="141">
        <v>80</v>
      </c>
      <c r="I30">
        <v>0</v>
      </c>
      <c r="J30">
        <v>29</v>
      </c>
      <c r="K30">
        <v>1.3</v>
      </c>
      <c r="L30">
        <v>54</v>
      </c>
    </row>
    <row r="31" spans="1:12" x14ac:dyDescent="0.3">
      <c r="A31">
        <v>0</v>
      </c>
      <c r="B31" t="s">
        <v>648</v>
      </c>
      <c r="C31" t="s">
        <v>650</v>
      </c>
      <c r="D31" t="s">
        <v>276</v>
      </c>
      <c r="E31">
        <v>211</v>
      </c>
      <c r="F31" s="28">
        <v>27496</v>
      </c>
      <c r="G31">
        <v>178</v>
      </c>
      <c r="H31" s="141">
        <v>69</v>
      </c>
      <c r="I31" s="141">
        <v>1</v>
      </c>
      <c r="J31" s="141">
        <v>45</v>
      </c>
      <c r="K31" s="141">
        <v>1.4</v>
      </c>
      <c r="L31" s="141">
        <v>68.2</v>
      </c>
    </row>
    <row r="32" spans="1:12" x14ac:dyDescent="0.3">
      <c r="A32">
        <v>1</v>
      </c>
      <c r="B32" t="s">
        <v>252</v>
      </c>
      <c r="C32" t="s">
        <v>195</v>
      </c>
      <c r="D32" t="s">
        <v>276</v>
      </c>
      <c r="E32">
        <v>111</v>
      </c>
      <c r="F32" s="28">
        <v>26879</v>
      </c>
      <c r="G32">
        <v>185</v>
      </c>
      <c r="H32">
        <v>75</v>
      </c>
      <c r="I32">
        <v>0</v>
      </c>
      <c r="J32">
        <v>36</v>
      </c>
      <c r="K32">
        <v>1.2</v>
      </c>
      <c r="L32">
        <v>43.2</v>
      </c>
    </row>
    <row r="33" spans="1:12" x14ac:dyDescent="0.3">
      <c r="A33">
        <v>0</v>
      </c>
      <c r="B33" t="s">
        <v>632</v>
      </c>
      <c r="C33" t="s">
        <v>268</v>
      </c>
      <c r="D33" t="s">
        <v>276</v>
      </c>
      <c r="E33">
        <v>111</v>
      </c>
      <c r="F33" s="28">
        <v>29103</v>
      </c>
      <c r="G33">
        <v>180</v>
      </c>
      <c r="H33" s="141">
        <v>80</v>
      </c>
      <c r="I33">
        <v>0</v>
      </c>
      <c r="J33">
        <v>29</v>
      </c>
      <c r="K33">
        <v>1.3</v>
      </c>
      <c r="L33">
        <v>54</v>
      </c>
    </row>
    <row r="34" spans="1:12" x14ac:dyDescent="0.3">
      <c r="A34">
        <v>1</v>
      </c>
      <c r="B34" t="s">
        <v>257</v>
      </c>
      <c r="C34" t="s">
        <v>269</v>
      </c>
      <c r="D34" t="s">
        <v>276</v>
      </c>
      <c r="E34">
        <v>201</v>
      </c>
      <c r="F34" s="28">
        <v>28397</v>
      </c>
      <c r="G34">
        <v>180</v>
      </c>
      <c r="H34" s="141">
        <v>78</v>
      </c>
      <c r="I34">
        <v>0</v>
      </c>
      <c r="J34">
        <v>36</v>
      </c>
      <c r="K34">
        <v>1.6</v>
      </c>
      <c r="L34">
        <v>105</v>
      </c>
    </row>
  </sheetData>
  <sortState ref="A6:L34">
    <sortCondition ref="D6:D34"/>
  </sortState>
  <dataValidations count="3">
    <dataValidation type="list" allowBlank="1" showInputMessage="1" showErrorMessage="1" sqref="E6:E34">
      <formula1>"101,111,201,211,311"</formula1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6:G34">
      <formula1>150</formula1>
      <formula2>190</formula2>
    </dataValidation>
    <dataValidation type="whole" allowBlank="1" showInputMessage="1" showErrorMessage="1" sqref="H6:H34">
      <formula1>50</formula1>
      <formula2>100</formula2>
    </dataValidation>
  </dataValidations>
  <hyperlinks>
    <hyperlink ref="L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rgb="FFFF6600"/>
  </sheetPr>
  <dimension ref="A1:K12"/>
  <sheetViews>
    <sheetView workbookViewId="0">
      <selection activeCell="K1" sqref="K1"/>
    </sheetView>
  </sheetViews>
  <sheetFormatPr defaultRowHeight="14.4" x14ac:dyDescent="0.3"/>
  <cols>
    <col min="1" max="1" width="15.6640625" customWidth="1"/>
    <col min="2" max="2" width="17.5546875" customWidth="1"/>
    <col min="3" max="6" width="5.5546875" customWidth="1"/>
    <col min="7" max="7" width="14.44140625" bestFit="1" customWidth="1"/>
  </cols>
  <sheetData>
    <row r="1" spans="1:11" x14ac:dyDescent="0.3">
      <c r="A1" s="60" t="s">
        <v>243</v>
      </c>
      <c r="B1" t="s">
        <v>304</v>
      </c>
      <c r="K1" s="182" t="s">
        <v>1148</v>
      </c>
    </row>
    <row r="3" spans="1:11" x14ac:dyDescent="0.3">
      <c r="A3" s="60" t="s">
        <v>305</v>
      </c>
      <c r="B3" s="60" t="s">
        <v>301</v>
      </c>
    </row>
    <row r="4" spans="1:11" x14ac:dyDescent="0.3">
      <c r="A4" s="60" t="s">
        <v>303</v>
      </c>
      <c r="B4">
        <v>101</v>
      </c>
      <c r="C4">
        <v>111</v>
      </c>
      <c r="D4">
        <v>201</v>
      </c>
      <c r="E4">
        <v>211</v>
      </c>
      <c r="F4">
        <v>311</v>
      </c>
      <c r="G4" t="s">
        <v>302</v>
      </c>
    </row>
    <row r="5" spans="1:11" x14ac:dyDescent="0.3">
      <c r="A5" s="61" t="s">
        <v>276</v>
      </c>
      <c r="B5" s="56"/>
      <c r="C5" s="56">
        <v>78.333333333333329</v>
      </c>
      <c r="D5" s="56">
        <v>78</v>
      </c>
      <c r="E5" s="56">
        <v>69</v>
      </c>
      <c r="F5" s="56"/>
      <c r="G5" s="56">
        <v>76.666666666666671</v>
      </c>
    </row>
    <row r="6" spans="1:11" x14ac:dyDescent="0.3">
      <c r="A6" s="61" t="s">
        <v>277</v>
      </c>
      <c r="B6" s="56">
        <v>78</v>
      </c>
      <c r="C6" s="56">
        <v>76</v>
      </c>
      <c r="D6" s="56">
        <v>78</v>
      </c>
      <c r="E6" s="56">
        <v>68</v>
      </c>
      <c r="F6" s="56"/>
      <c r="G6" s="56">
        <v>74.857142857142861</v>
      </c>
    </row>
    <row r="7" spans="1:11" x14ac:dyDescent="0.3">
      <c r="A7" s="61" t="s">
        <v>279</v>
      </c>
      <c r="B7" s="56"/>
      <c r="C7" s="56">
        <v>76</v>
      </c>
      <c r="D7" s="56">
        <v>51</v>
      </c>
      <c r="E7" s="56">
        <v>56</v>
      </c>
      <c r="F7" s="56"/>
      <c r="G7" s="56">
        <v>59.75</v>
      </c>
    </row>
    <row r="8" spans="1:11" x14ac:dyDescent="0.3">
      <c r="A8" s="61" t="s">
        <v>622</v>
      </c>
      <c r="B8" s="56">
        <v>72</v>
      </c>
      <c r="C8" s="56"/>
      <c r="D8" s="56"/>
      <c r="E8" s="56"/>
      <c r="F8" s="56"/>
      <c r="G8" s="56">
        <v>72</v>
      </c>
    </row>
    <row r="9" spans="1:11" x14ac:dyDescent="0.3">
      <c r="A9" s="61" t="s">
        <v>281</v>
      </c>
      <c r="B9" s="56">
        <v>65</v>
      </c>
      <c r="C9" s="56"/>
      <c r="D9" s="56"/>
      <c r="E9" s="56"/>
      <c r="F9" s="56">
        <v>54</v>
      </c>
      <c r="G9" s="56">
        <v>57.666666666666664</v>
      </c>
    </row>
    <row r="10" spans="1:11" x14ac:dyDescent="0.3">
      <c r="A10" s="61" t="s">
        <v>280</v>
      </c>
      <c r="B10" s="56"/>
      <c r="C10" s="56">
        <v>65</v>
      </c>
      <c r="D10" s="56"/>
      <c r="E10" s="56"/>
      <c r="F10" s="56"/>
      <c r="G10" s="56">
        <v>65</v>
      </c>
    </row>
    <row r="11" spans="1:11" x14ac:dyDescent="0.3">
      <c r="A11" s="61" t="s">
        <v>278</v>
      </c>
      <c r="B11" s="56">
        <v>56</v>
      </c>
      <c r="C11" s="56">
        <v>78</v>
      </c>
      <c r="D11" s="56"/>
      <c r="E11" s="56">
        <v>86</v>
      </c>
      <c r="F11" s="56">
        <v>55</v>
      </c>
      <c r="G11" s="56">
        <v>69.333333333333329</v>
      </c>
    </row>
    <row r="12" spans="1:11" x14ac:dyDescent="0.3">
      <c r="A12" s="61" t="s">
        <v>302</v>
      </c>
      <c r="B12" s="56">
        <v>69.8</v>
      </c>
      <c r="C12" s="56">
        <v>74.375</v>
      </c>
      <c r="D12" s="56">
        <v>72.599999999999994</v>
      </c>
      <c r="E12" s="56">
        <v>69.857142857142861</v>
      </c>
      <c r="F12" s="56">
        <v>54.5</v>
      </c>
      <c r="G12" s="56">
        <v>69.448275862068968</v>
      </c>
    </row>
  </sheetData>
  <hyperlinks>
    <hyperlink ref="K1" location="Obsah!A1" display="Obsah"/>
  </hyperlinks>
  <pageMargins left="0.7" right="0.7" top="0.78740157499999996" bottom="0.78740157499999996" header="0.3" footer="0.3"/>
  <pageSetup paperSize="9" orientation="portrait"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rgb="FFFF6600"/>
  </sheetPr>
  <dimension ref="A1:I11"/>
  <sheetViews>
    <sheetView workbookViewId="0">
      <selection activeCell="I1" sqref="I1"/>
    </sheetView>
  </sheetViews>
  <sheetFormatPr defaultRowHeight="14.4" x14ac:dyDescent="0.3"/>
  <cols>
    <col min="1" max="1" width="15.6640625" customWidth="1"/>
    <col min="2" max="2" width="9.5546875" customWidth="1"/>
    <col min="3" max="3" width="8.109375" customWidth="1"/>
    <col min="4" max="4" width="14.44140625" customWidth="1"/>
    <col min="5" max="5" width="5.88671875" customWidth="1"/>
    <col min="6" max="6" width="14.44140625" customWidth="1"/>
    <col min="7" max="7" width="7.44140625" customWidth="1"/>
    <col min="8" max="8" width="5.88671875" customWidth="1"/>
    <col min="9" max="9" width="14.44140625" customWidth="1"/>
    <col min="10" max="10" width="14.109375" bestFit="1" customWidth="1"/>
    <col min="11" max="11" width="13.6640625" bestFit="1" customWidth="1"/>
    <col min="12" max="12" width="14.109375" bestFit="1" customWidth="1"/>
    <col min="13" max="13" width="13.6640625" bestFit="1" customWidth="1"/>
    <col min="14" max="14" width="14.109375" bestFit="1" customWidth="1"/>
    <col min="15" max="15" width="13.6640625" bestFit="1" customWidth="1"/>
    <col min="16" max="16" width="21.5546875" bestFit="1" customWidth="1"/>
    <col min="17" max="17" width="21" bestFit="1" customWidth="1"/>
  </cols>
  <sheetData>
    <row r="1" spans="1:9" x14ac:dyDescent="0.3">
      <c r="I1" s="182" t="s">
        <v>1148</v>
      </c>
    </row>
    <row r="4" spans="1:9" x14ac:dyDescent="0.3">
      <c r="A4" s="60" t="s">
        <v>685</v>
      </c>
      <c r="B4" s="60" t="s">
        <v>686</v>
      </c>
    </row>
    <row r="5" spans="1:9" x14ac:dyDescent="0.3">
      <c r="B5" t="s">
        <v>306</v>
      </c>
      <c r="C5" t="s">
        <v>668</v>
      </c>
      <c r="D5" t="s">
        <v>297</v>
      </c>
    </row>
    <row r="6" spans="1:9" x14ac:dyDescent="0.3">
      <c r="A6" s="60" t="s">
        <v>303</v>
      </c>
    </row>
    <row r="7" spans="1:9" x14ac:dyDescent="0.3">
      <c r="A7" s="61" t="s">
        <v>664</v>
      </c>
      <c r="B7" s="152">
        <v>1.2</v>
      </c>
      <c r="C7" s="152">
        <v>1.1000000000000001</v>
      </c>
      <c r="D7" s="152">
        <v>1.1666666666666667</v>
      </c>
    </row>
    <row r="8" spans="1:9" x14ac:dyDescent="0.3">
      <c r="A8" s="61" t="s">
        <v>665</v>
      </c>
      <c r="B8" s="152"/>
      <c r="C8" s="152">
        <v>1.4333333333333333</v>
      </c>
      <c r="D8" s="152">
        <v>1.4333333333333333</v>
      </c>
    </row>
    <row r="9" spans="1:9" x14ac:dyDescent="0.3">
      <c r="A9" s="61" t="s">
        <v>666</v>
      </c>
      <c r="B9" s="152">
        <v>1.3857142857142859</v>
      </c>
      <c r="C9" s="152">
        <v>1.45</v>
      </c>
      <c r="D9" s="152">
        <v>1.4000000000000001</v>
      </c>
    </row>
    <row r="10" spans="1:9" x14ac:dyDescent="0.3">
      <c r="A10" s="61" t="s">
        <v>667</v>
      </c>
      <c r="B10" s="152">
        <v>1.2833333333333332</v>
      </c>
      <c r="C10" s="152">
        <v>1.4125000000000001</v>
      </c>
      <c r="D10" s="152">
        <v>1.3571428571428572</v>
      </c>
    </row>
    <row r="11" spans="1:9" x14ac:dyDescent="0.3">
      <c r="A11" s="61" t="s">
        <v>297</v>
      </c>
      <c r="B11" s="152">
        <v>1.32</v>
      </c>
      <c r="C11" s="152">
        <v>1.4000000000000001</v>
      </c>
      <c r="D11" s="152">
        <v>1.3586206896551727</v>
      </c>
    </row>
  </sheetData>
  <hyperlinks>
    <hyperlink ref="I1" location="Obsah!A1" display="Obsah"/>
  </hyperlinks>
  <pageMargins left="0.7" right="0.7" top="0.78740157499999996" bottom="0.78740157499999996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rgb="FFFFFF00"/>
  </sheetPr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rgb="FFFF6600"/>
  </sheetPr>
  <dimension ref="A2:N31"/>
  <sheetViews>
    <sheetView workbookViewId="0">
      <selection activeCell="N2" sqref="N2"/>
    </sheetView>
  </sheetViews>
  <sheetFormatPr defaultRowHeight="14.4" x14ac:dyDescent="0.3"/>
  <cols>
    <col min="2" max="2" width="15.109375" customWidth="1"/>
    <col min="3" max="3" width="13.33203125" customWidth="1"/>
    <col min="6" max="6" width="14.33203125" customWidth="1"/>
  </cols>
  <sheetData>
    <row r="2" spans="1:14" s="146" customFormat="1" ht="26.25" customHeight="1" thickBot="1" x14ac:dyDescent="0.35">
      <c r="A2" s="151" t="s">
        <v>243</v>
      </c>
      <c r="B2" s="151" t="s">
        <v>178</v>
      </c>
      <c r="C2" s="151" t="s">
        <v>244</v>
      </c>
      <c r="D2" s="151" t="s">
        <v>245</v>
      </c>
      <c r="E2" s="151" t="s">
        <v>246</v>
      </c>
      <c r="F2" s="151" t="s">
        <v>1</v>
      </c>
      <c r="G2" s="151" t="s">
        <v>247</v>
      </c>
      <c r="H2" s="151" t="s">
        <v>248</v>
      </c>
      <c r="I2" s="151" t="s">
        <v>249</v>
      </c>
      <c r="J2" s="151" t="s">
        <v>250</v>
      </c>
      <c r="K2" s="151" t="s">
        <v>282</v>
      </c>
      <c r="L2" s="151" t="s">
        <v>251</v>
      </c>
      <c r="N2" s="182" t="s">
        <v>1148</v>
      </c>
    </row>
    <row r="3" spans="1:14" x14ac:dyDescent="0.3">
      <c r="A3">
        <v>0</v>
      </c>
      <c r="B3" t="s">
        <v>253</v>
      </c>
      <c r="C3" t="s">
        <v>264</v>
      </c>
      <c r="D3" t="s">
        <v>277</v>
      </c>
      <c r="E3">
        <v>201</v>
      </c>
      <c r="F3" s="28">
        <v>26912</v>
      </c>
      <c r="G3">
        <v>180</v>
      </c>
      <c r="H3" s="141">
        <v>78</v>
      </c>
      <c r="I3">
        <v>1</v>
      </c>
      <c r="J3">
        <v>45</v>
      </c>
      <c r="K3">
        <v>1.4</v>
      </c>
      <c r="L3">
        <v>67.5</v>
      </c>
    </row>
    <row r="4" spans="1:14" x14ac:dyDescent="0.3">
      <c r="A4">
        <v>1</v>
      </c>
      <c r="B4" t="s">
        <v>631</v>
      </c>
      <c r="C4" t="s">
        <v>639</v>
      </c>
      <c r="D4" t="s">
        <v>276</v>
      </c>
      <c r="E4">
        <v>201</v>
      </c>
      <c r="F4" s="28">
        <v>28397</v>
      </c>
      <c r="G4">
        <v>180</v>
      </c>
      <c r="H4" s="141">
        <v>78</v>
      </c>
      <c r="I4">
        <v>0</v>
      </c>
      <c r="J4">
        <v>36</v>
      </c>
      <c r="K4">
        <v>1.6</v>
      </c>
      <c r="L4">
        <v>105</v>
      </c>
    </row>
    <row r="5" spans="1:14" x14ac:dyDescent="0.3">
      <c r="A5">
        <v>0</v>
      </c>
      <c r="B5" t="s">
        <v>186</v>
      </c>
      <c r="C5" t="s">
        <v>267</v>
      </c>
      <c r="D5" t="s">
        <v>280</v>
      </c>
      <c r="E5">
        <v>111</v>
      </c>
      <c r="F5" s="28">
        <v>28382</v>
      </c>
      <c r="G5">
        <v>164</v>
      </c>
      <c r="H5">
        <v>65</v>
      </c>
      <c r="I5">
        <v>1</v>
      </c>
      <c r="J5">
        <v>52</v>
      </c>
      <c r="K5">
        <v>1.4</v>
      </c>
      <c r="L5">
        <v>73.7</v>
      </c>
    </row>
    <row r="6" spans="1:14" x14ac:dyDescent="0.3">
      <c r="A6">
        <v>0</v>
      </c>
      <c r="B6" t="s">
        <v>256</v>
      </c>
      <c r="C6" t="s">
        <v>268</v>
      </c>
      <c r="D6" t="s">
        <v>281</v>
      </c>
      <c r="E6">
        <v>311</v>
      </c>
      <c r="F6" s="28">
        <v>28697</v>
      </c>
      <c r="G6">
        <v>182</v>
      </c>
      <c r="H6" s="141">
        <v>54</v>
      </c>
      <c r="I6">
        <v>1</v>
      </c>
      <c r="J6">
        <v>64</v>
      </c>
      <c r="K6">
        <v>1.1000000000000001</v>
      </c>
      <c r="L6">
        <v>83.2</v>
      </c>
    </row>
    <row r="7" spans="1:14" x14ac:dyDescent="0.3">
      <c r="A7">
        <v>0</v>
      </c>
      <c r="B7" t="s">
        <v>258</v>
      </c>
      <c r="C7" t="s">
        <v>270</v>
      </c>
      <c r="D7" t="s">
        <v>277</v>
      </c>
      <c r="E7">
        <v>211</v>
      </c>
      <c r="F7" s="28">
        <v>28622</v>
      </c>
      <c r="G7">
        <v>176</v>
      </c>
      <c r="H7" s="141">
        <v>68</v>
      </c>
      <c r="I7">
        <v>0</v>
      </c>
      <c r="J7">
        <v>75</v>
      </c>
      <c r="K7">
        <v>1.3</v>
      </c>
      <c r="L7">
        <v>79.2</v>
      </c>
    </row>
    <row r="8" spans="1:14" x14ac:dyDescent="0.3">
      <c r="A8">
        <v>0</v>
      </c>
      <c r="B8" t="s">
        <v>637</v>
      </c>
      <c r="C8" t="s">
        <v>644</v>
      </c>
      <c r="D8" t="s">
        <v>280</v>
      </c>
      <c r="E8">
        <v>111</v>
      </c>
      <c r="F8" s="28">
        <v>28382</v>
      </c>
      <c r="G8">
        <v>165</v>
      </c>
      <c r="H8">
        <v>65</v>
      </c>
      <c r="I8">
        <v>1</v>
      </c>
      <c r="J8">
        <v>52</v>
      </c>
      <c r="K8">
        <v>1.4</v>
      </c>
      <c r="L8">
        <v>73.7</v>
      </c>
    </row>
    <row r="9" spans="1:14" x14ac:dyDescent="0.3">
      <c r="A9">
        <v>1</v>
      </c>
      <c r="B9" t="s">
        <v>645</v>
      </c>
      <c r="C9" t="s">
        <v>266</v>
      </c>
      <c r="D9" t="s">
        <v>278</v>
      </c>
      <c r="E9">
        <v>101</v>
      </c>
      <c r="F9" s="28">
        <v>28403</v>
      </c>
      <c r="G9">
        <v>154</v>
      </c>
      <c r="H9" s="141">
        <v>56</v>
      </c>
      <c r="I9" s="141">
        <v>0</v>
      </c>
      <c r="J9" s="141">
        <v>34</v>
      </c>
      <c r="K9" s="141">
        <v>1.1000000000000001</v>
      </c>
      <c r="L9" s="141">
        <v>54.6</v>
      </c>
    </row>
    <row r="10" spans="1:14" x14ac:dyDescent="0.3">
      <c r="A10">
        <v>0</v>
      </c>
      <c r="B10" t="s">
        <v>261</v>
      </c>
      <c r="C10" t="s">
        <v>273</v>
      </c>
      <c r="D10" t="s">
        <v>277</v>
      </c>
      <c r="E10">
        <v>111</v>
      </c>
      <c r="F10" s="28">
        <v>28624</v>
      </c>
      <c r="G10">
        <v>185</v>
      </c>
      <c r="H10" s="141">
        <v>76</v>
      </c>
      <c r="I10">
        <v>1</v>
      </c>
      <c r="J10">
        <v>44</v>
      </c>
      <c r="K10">
        <v>1.5</v>
      </c>
      <c r="L10">
        <v>46.4</v>
      </c>
    </row>
    <row r="11" spans="1:14" x14ac:dyDescent="0.3">
      <c r="A11">
        <v>0</v>
      </c>
      <c r="B11" t="s">
        <v>635</v>
      </c>
      <c r="C11" t="s">
        <v>642</v>
      </c>
      <c r="D11" t="s">
        <v>278</v>
      </c>
      <c r="E11">
        <v>211</v>
      </c>
      <c r="F11" s="28">
        <v>28527</v>
      </c>
      <c r="G11">
        <v>168</v>
      </c>
      <c r="H11">
        <v>86</v>
      </c>
      <c r="I11">
        <v>0</v>
      </c>
      <c r="J11">
        <v>31</v>
      </c>
      <c r="K11">
        <v>1.5</v>
      </c>
      <c r="L11">
        <v>40.299999999999997</v>
      </c>
    </row>
    <row r="12" spans="1:14" x14ac:dyDescent="0.3">
      <c r="A12">
        <v>0</v>
      </c>
      <c r="B12" t="s">
        <v>626</v>
      </c>
      <c r="C12" t="s">
        <v>416</v>
      </c>
      <c r="D12" t="s">
        <v>281</v>
      </c>
      <c r="E12">
        <v>311</v>
      </c>
      <c r="F12" s="28">
        <v>28697</v>
      </c>
      <c r="G12">
        <v>182</v>
      </c>
      <c r="H12" s="141">
        <v>54</v>
      </c>
      <c r="I12">
        <v>1</v>
      </c>
      <c r="J12">
        <v>64</v>
      </c>
      <c r="K12">
        <v>1.1000000000000001</v>
      </c>
      <c r="L12">
        <v>83.2</v>
      </c>
    </row>
    <row r="13" spans="1:14" x14ac:dyDescent="0.3">
      <c r="A13">
        <v>1</v>
      </c>
      <c r="B13" t="s">
        <v>254</v>
      </c>
      <c r="C13" t="s">
        <v>266</v>
      </c>
      <c r="D13" t="s">
        <v>279</v>
      </c>
      <c r="E13">
        <v>111</v>
      </c>
      <c r="F13" s="28">
        <v>28564</v>
      </c>
      <c r="G13">
        <v>182</v>
      </c>
      <c r="H13" s="141">
        <v>76</v>
      </c>
      <c r="I13">
        <v>0</v>
      </c>
      <c r="J13">
        <v>22</v>
      </c>
      <c r="K13">
        <v>1.2</v>
      </c>
      <c r="L13">
        <v>72.8</v>
      </c>
    </row>
    <row r="14" spans="1:14" x14ac:dyDescent="0.3">
      <c r="A14">
        <v>0</v>
      </c>
      <c r="B14" t="s">
        <v>255</v>
      </c>
      <c r="C14" t="s">
        <v>265</v>
      </c>
      <c r="D14" t="s">
        <v>278</v>
      </c>
      <c r="E14">
        <v>211</v>
      </c>
      <c r="F14" s="28">
        <v>28527</v>
      </c>
      <c r="G14">
        <v>172</v>
      </c>
      <c r="H14">
        <v>86</v>
      </c>
      <c r="I14">
        <v>0</v>
      </c>
      <c r="J14">
        <v>31</v>
      </c>
      <c r="K14">
        <v>1.5</v>
      </c>
      <c r="L14">
        <v>40.299999999999997</v>
      </c>
    </row>
    <row r="15" spans="1:14" x14ac:dyDescent="0.3">
      <c r="A15">
        <v>0</v>
      </c>
      <c r="B15" t="s">
        <v>262</v>
      </c>
      <c r="C15" t="s">
        <v>274</v>
      </c>
      <c r="D15" t="s">
        <v>276</v>
      </c>
      <c r="E15">
        <v>111</v>
      </c>
      <c r="F15" s="28">
        <v>29103</v>
      </c>
      <c r="G15">
        <v>180</v>
      </c>
      <c r="H15" s="141">
        <v>80</v>
      </c>
      <c r="I15">
        <v>0</v>
      </c>
      <c r="J15">
        <v>29</v>
      </c>
      <c r="K15">
        <v>1.3</v>
      </c>
      <c r="L15">
        <v>54</v>
      </c>
    </row>
    <row r="16" spans="1:14" x14ac:dyDescent="0.3">
      <c r="A16">
        <v>1</v>
      </c>
      <c r="B16" t="s">
        <v>646</v>
      </c>
      <c r="C16" t="s">
        <v>550</v>
      </c>
      <c r="D16" t="s">
        <v>279</v>
      </c>
      <c r="E16">
        <v>201</v>
      </c>
      <c r="F16" s="28">
        <v>28743</v>
      </c>
      <c r="G16">
        <v>156</v>
      </c>
      <c r="H16" s="141">
        <v>51</v>
      </c>
      <c r="I16" s="141">
        <v>0</v>
      </c>
      <c r="J16" s="141">
        <v>56</v>
      </c>
      <c r="K16" s="141">
        <v>1.2</v>
      </c>
      <c r="L16" s="141">
        <v>74.2</v>
      </c>
    </row>
    <row r="17" spans="1:12" x14ac:dyDescent="0.3">
      <c r="A17">
        <v>1</v>
      </c>
      <c r="B17" t="s">
        <v>629</v>
      </c>
      <c r="C17" t="s">
        <v>269</v>
      </c>
      <c r="D17" t="s">
        <v>278</v>
      </c>
      <c r="E17">
        <v>311</v>
      </c>
      <c r="F17" s="28">
        <v>28197</v>
      </c>
      <c r="G17">
        <v>182</v>
      </c>
      <c r="H17" s="141">
        <v>55</v>
      </c>
      <c r="I17">
        <v>1</v>
      </c>
      <c r="J17">
        <v>36</v>
      </c>
      <c r="K17">
        <v>1.5</v>
      </c>
      <c r="L17">
        <v>61.6</v>
      </c>
    </row>
    <row r="18" spans="1:12" x14ac:dyDescent="0.3">
      <c r="A18">
        <v>1</v>
      </c>
      <c r="B18" t="s">
        <v>260</v>
      </c>
      <c r="C18" t="s">
        <v>272</v>
      </c>
      <c r="D18" t="s">
        <v>278</v>
      </c>
      <c r="E18">
        <v>311</v>
      </c>
      <c r="F18" s="28">
        <v>28197</v>
      </c>
      <c r="G18">
        <v>182</v>
      </c>
      <c r="H18" s="141">
        <v>55</v>
      </c>
      <c r="I18">
        <v>1</v>
      </c>
      <c r="J18">
        <v>36</v>
      </c>
      <c r="K18">
        <v>1.5</v>
      </c>
      <c r="L18">
        <v>61.6</v>
      </c>
    </row>
    <row r="19" spans="1:12" x14ac:dyDescent="0.3">
      <c r="A19">
        <v>0</v>
      </c>
      <c r="B19" t="s">
        <v>648</v>
      </c>
      <c r="C19" t="s">
        <v>650</v>
      </c>
      <c r="D19" t="s">
        <v>276</v>
      </c>
      <c r="E19">
        <v>211</v>
      </c>
      <c r="F19" s="28">
        <v>27496</v>
      </c>
      <c r="G19">
        <v>178</v>
      </c>
      <c r="H19" s="141">
        <v>69</v>
      </c>
      <c r="I19" s="141">
        <v>1</v>
      </c>
      <c r="J19" s="141">
        <v>45</v>
      </c>
      <c r="K19" s="141">
        <v>1.4</v>
      </c>
      <c r="L19" s="141">
        <v>68.2</v>
      </c>
    </row>
    <row r="20" spans="1:12" x14ac:dyDescent="0.3">
      <c r="A20">
        <v>1</v>
      </c>
      <c r="B20" t="s">
        <v>252</v>
      </c>
      <c r="C20" t="s">
        <v>195</v>
      </c>
      <c r="D20" t="s">
        <v>276</v>
      </c>
      <c r="E20">
        <v>111</v>
      </c>
      <c r="F20" s="28">
        <v>26879</v>
      </c>
      <c r="G20">
        <v>185</v>
      </c>
      <c r="H20">
        <v>75</v>
      </c>
      <c r="I20">
        <v>0</v>
      </c>
      <c r="J20">
        <v>36</v>
      </c>
      <c r="K20">
        <v>1.2</v>
      </c>
      <c r="L20">
        <v>43.2</v>
      </c>
    </row>
    <row r="21" spans="1:12" x14ac:dyDescent="0.3">
      <c r="A21">
        <v>0</v>
      </c>
      <c r="B21" t="s">
        <v>647</v>
      </c>
      <c r="C21" t="s">
        <v>267</v>
      </c>
      <c r="D21" t="s">
        <v>278</v>
      </c>
      <c r="E21">
        <v>111</v>
      </c>
      <c r="F21" s="28">
        <v>28614</v>
      </c>
      <c r="G21">
        <v>185</v>
      </c>
      <c r="H21" s="141">
        <v>78</v>
      </c>
      <c r="I21" s="141">
        <v>0</v>
      </c>
      <c r="J21" s="141">
        <v>34</v>
      </c>
      <c r="K21" s="141">
        <v>1.3</v>
      </c>
      <c r="L21" s="141">
        <v>35.4</v>
      </c>
    </row>
    <row r="22" spans="1:12" x14ac:dyDescent="0.3">
      <c r="A22">
        <v>0</v>
      </c>
      <c r="B22" t="s">
        <v>259</v>
      </c>
      <c r="C22" t="s">
        <v>271</v>
      </c>
      <c r="D22" t="s">
        <v>279</v>
      </c>
      <c r="E22">
        <v>211</v>
      </c>
      <c r="F22" s="28">
        <v>28725</v>
      </c>
      <c r="G22">
        <v>174</v>
      </c>
      <c r="H22">
        <v>56</v>
      </c>
      <c r="I22">
        <v>0</v>
      </c>
      <c r="J22">
        <v>66</v>
      </c>
      <c r="K22">
        <v>1.4</v>
      </c>
      <c r="L22">
        <v>46.9</v>
      </c>
    </row>
    <row r="23" spans="1:12" x14ac:dyDescent="0.3">
      <c r="A23">
        <v>1</v>
      </c>
      <c r="B23" t="s">
        <v>649</v>
      </c>
      <c r="C23" t="s">
        <v>651</v>
      </c>
      <c r="D23" t="s">
        <v>281</v>
      </c>
      <c r="E23">
        <v>101</v>
      </c>
      <c r="F23" s="28">
        <v>28271</v>
      </c>
      <c r="G23">
        <v>152</v>
      </c>
      <c r="H23" s="141">
        <v>65</v>
      </c>
      <c r="I23" s="141">
        <v>1</v>
      </c>
      <c r="J23" s="141">
        <v>29</v>
      </c>
      <c r="K23" s="141">
        <v>1.2</v>
      </c>
      <c r="L23" s="141">
        <v>41.9</v>
      </c>
    </row>
    <row r="24" spans="1:12" x14ac:dyDescent="0.3">
      <c r="A24">
        <v>0</v>
      </c>
      <c r="B24" t="s">
        <v>633</v>
      </c>
      <c r="C24" t="s">
        <v>640</v>
      </c>
      <c r="D24" t="s">
        <v>277</v>
      </c>
      <c r="E24">
        <v>101</v>
      </c>
      <c r="F24" s="28">
        <v>28160</v>
      </c>
      <c r="G24">
        <v>179</v>
      </c>
      <c r="H24" s="141">
        <v>78</v>
      </c>
      <c r="I24">
        <v>1</v>
      </c>
      <c r="J24">
        <v>36</v>
      </c>
      <c r="K24">
        <v>1.4</v>
      </c>
      <c r="L24">
        <v>54.2</v>
      </c>
    </row>
    <row r="25" spans="1:12" x14ac:dyDescent="0.3">
      <c r="A25">
        <v>0</v>
      </c>
      <c r="B25" t="s">
        <v>632</v>
      </c>
      <c r="C25" t="s">
        <v>268</v>
      </c>
      <c r="D25" t="s">
        <v>276</v>
      </c>
      <c r="E25">
        <v>111</v>
      </c>
      <c r="F25" s="28">
        <v>29103</v>
      </c>
      <c r="G25">
        <v>180</v>
      </c>
      <c r="H25" s="141">
        <v>80</v>
      </c>
      <c r="I25">
        <v>0</v>
      </c>
      <c r="J25">
        <v>29</v>
      </c>
      <c r="K25">
        <v>1.3</v>
      </c>
      <c r="L25">
        <v>54</v>
      </c>
    </row>
    <row r="26" spans="1:12" x14ac:dyDescent="0.3">
      <c r="A26">
        <v>0</v>
      </c>
      <c r="B26" t="s">
        <v>630</v>
      </c>
      <c r="C26" t="s">
        <v>638</v>
      </c>
      <c r="D26" t="s">
        <v>277</v>
      </c>
      <c r="E26">
        <v>201</v>
      </c>
      <c r="F26" s="28">
        <v>26912</v>
      </c>
      <c r="G26">
        <v>180</v>
      </c>
      <c r="H26" s="141">
        <v>78</v>
      </c>
      <c r="I26">
        <v>1</v>
      </c>
      <c r="J26">
        <v>45</v>
      </c>
      <c r="K26">
        <v>1.4</v>
      </c>
      <c r="L26">
        <v>67.5</v>
      </c>
    </row>
    <row r="27" spans="1:12" x14ac:dyDescent="0.3">
      <c r="A27">
        <v>1</v>
      </c>
      <c r="B27" t="s">
        <v>257</v>
      </c>
      <c r="C27" t="s">
        <v>269</v>
      </c>
      <c r="D27" t="s">
        <v>276</v>
      </c>
      <c r="E27">
        <v>201</v>
      </c>
      <c r="F27" s="28">
        <v>28397</v>
      </c>
      <c r="G27">
        <v>180</v>
      </c>
      <c r="H27" s="141">
        <v>78</v>
      </c>
      <c r="I27">
        <v>0</v>
      </c>
      <c r="J27">
        <v>36</v>
      </c>
      <c r="K27">
        <v>1.6</v>
      </c>
      <c r="L27">
        <v>105</v>
      </c>
    </row>
    <row r="28" spans="1:12" x14ac:dyDescent="0.3">
      <c r="A28">
        <v>0</v>
      </c>
      <c r="B28" t="s">
        <v>636</v>
      </c>
      <c r="C28" t="s">
        <v>643</v>
      </c>
      <c r="D28" t="s">
        <v>279</v>
      </c>
      <c r="E28">
        <v>211</v>
      </c>
      <c r="F28" s="28">
        <v>28725</v>
      </c>
      <c r="G28">
        <v>170</v>
      </c>
      <c r="H28">
        <v>56</v>
      </c>
      <c r="I28">
        <v>0</v>
      </c>
      <c r="J28">
        <v>66</v>
      </c>
      <c r="K28">
        <v>1.4</v>
      </c>
      <c r="L28">
        <v>46.9</v>
      </c>
    </row>
    <row r="29" spans="1:12" x14ac:dyDescent="0.3">
      <c r="A29">
        <v>0</v>
      </c>
      <c r="B29" t="s">
        <v>634</v>
      </c>
      <c r="C29" t="s">
        <v>641</v>
      </c>
      <c r="D29" t="s">
        <v>277</v>
      </c>
      <c r="E29">
        <v>211</v>
      </c>
      <c r="F29" s="28">
        <v>28622</v>
      </c>
      <c r="G29">
        <v>175</v>
      </c>
      <c r="H29" s="141">
        <v>68</v>
      </c>
      <c r="I29">
        <v>0</v>
      </c>
      <c r="J29">
        <v>75</v>
      </c>
      <c r="K29">
        <v>1.3</v>
      </c>
      <c r="L29">
        <v>79.2</v>
      </c>
    </row>
    <row r="30" spans="1:12" x14ac:dyDescent="0.3">
      <c r="A30">
        <v>1</v>
      </c>
      <c r="B30" t="s">
        <v>627</v>
      </c>
      <c r="C30" t="s">
        <v>628</v>
      </c>
      <c r="D30" t="s">
        <v>622</v>
      </c>
      <c r="E30">
        <v>101</v>
      </c>
      <c r="F30" s="28">
        <v>27895</v>
      </c>
      <c r="G30">
        <v>178</v>
      </c>
      <c r="H30" s="141">
        <v>72</v>
      </c>
      <c r="I30" s="141">
        <v>1</v>
      </c>
      <c r="J30" s="141">
        <v>30</v>
      </c>
      <c r="K30" s="141">
        <v>1.5</v>
      </c>
      <c r="L30" s="141">
        <v>70.400000000000006</v>
      </c>
    </row>
    <row r="31" spans="1:12" x14ac:dyDescent="0.3">
      <c r="A31">
        <v>0</v>
      </c>
      <c r="B31" t="s">
        <v>263</v>
      </c>
      <c r="C31" t="s">
        <v>275</v>
      </c>
      <c r="D31" t="s">
        <v>277</v>
      </c>
      <c r="E31">
        <v>101</v>
      </c>
      <c r="F31" s="28">
        <v>28160</v>
      </c>
      <c r="G31">
        <v>179</v>
      </c>
      <c r="H31" s="141">
        <v>78</v>
      </c>
      <c r="I31">
        <v>1</v>
      </c>
      <c r="J31">
        <v>36</v>
      </c>
      <c r="K31">
        <v>1.4</v>
      </c>
      <c r="L31">
        <v>54.2</v>
      </c>
    </row>
  </sheetData>
  <dataValidations count="3">
    <dataValidation type="whole" allowBlank="1" showInputMessage="1" showErrorMessage="1" sqref="H3:H31">
      <formula1>50</formula1>
      <formula2>100</formula2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3:G31">
      <formula1>150</formula1>
      <formula2>190</formula2>
    </dataValidation>
    <dataValidation type="list" allowBlank="1" showInputMessage="1" showErrorMessage="1" sqref="E3:E31">
      <formula1>"101,111,201,211,311"</formula1>
    </dataValidation>
  </dataValidations>
  <hyperlinks>
    <hyperlink ref="N2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rgb="FFFF6600"/>
  </sheetPr>
  <dimension ref="A2:K10"/>
  <sheetViews>
    <sheetView workbookViewId="0">
      <selection activeCell="K2" sqref="K2"/>
    </sheetView>
  </sheetViews>
  <sheetFormatPr defaultRowHeight="14.4" x14ac:dyDescent="0.3"/>
  <cols>
    <col min="1" max="1" width="15.6640625" bestFit="1" customWidth="1"/>
    <col min="2" max="2" width="17.5546875" bestFit="1" customWidth="1"/>
    <col min="3" max="3" width="7.44140625" customWidth="1"/>
    <col min="4" max="4" width="5.88671875" customWidth="1"/>
    <col min="5" max="5" width="10.88671875" bestFit="1" customWidth="1"/>
    <col min="6" max="6" width="7.6640625" customWidth="1"/>
    <col min="7" max="7" width="9.88671875" customWidth="1"/>
    <col min="8" max="8" width="9" customWidth="1"/>
    <col min="9" max="9" width="15.109375" bestFit="1" customWidth="1"/>
  </cols>
  <sheetData>
    <row r="2" spans="1:11" x14ac:dyDescent="0.3">
      <c r="K2" s="182" t="s">
        <v>1148</v>
      </c>
    </row>
    <row r="3" spans="1:11" x14ac:dyDescent="0.3">
      <c r="A3" s="60" t="s">
        <v>669</v>
      </c>
      <c r="B3" s="60" t="s">
        <v>301</v>
      </c>
    </row>
    <row r="4" spans="1:11" x14ac:dyDescent="0.3">
      <c r="B4" t="s">
        <v>668</v>
      </c>
      <c r="E4" t="s">
        <v>684</v>
      </c>
      <c r="I4" t="s">
        <v>297</v>
      </c>
    </row>
    <row r="5" spans="1:11" x14ac:dyDescent="0.3">
      <c r="A5" s="60" t="s">
        <v>303</v>
      </c>
      <c r="B5" t="s">
        <v>276</v>
      </c>
      <c r="C5" t="s">
        <v>280</v>
      </c>
      <c r="D5" t="s">
        <v>278</v>
      </c>
      <c r="E5" t="s">
        <v>277</v>
      </c>
      <c r="F5" t="s">
        <v>279</v>
      </c>
      <c r="G5" t="s">
        <v>622</v>
      </c>
      <c r="H5" t="s">
        <v>281</v>
      </c>
    </row>
    <row r="6" spans="1:11" x14ac:dyDescent="0.3">
      <c r="A6" s="61" t="s">
        <v>664</v>
      </c>
      <c r="B6" s="152"/>
      <c r="C6" s="152"/>
      <c r="D6" s="152">
        <v>54.6</v>
      </c>
      <c r="E6" s="152"/>
      <c r="F6" s="152">
        <v>74.2</v>
      </c>
      <c r="G6" s="152"/>
      <c r="H6" s="152">
        <v>41.9</v>
      </c>
      <c r="I6" s="152">
        <v>56.900000000000006</v>
      </c>
    </row>
    <row r="7" spans="1:11" x14ac:dyDescent="0.3">
      <c r="A7" s="61" t="s">
        <v>665</v>
      </c>
      <c r="B7" s="152"/>
      <c r="C7" s="152">
        <v>73.7</v>
      </c>
      <c r="D7" s="152">
        <v>40.299999999999997</v>
      </c>
      <c r="E7" s="152"/>
      <c r="F7" s="152"/>
      <c r="G7" s="152"/>
      <c r="H7" s="152"/>
      <c r="I7" s="152">
        <v>62.566666666666663</v>
      </c>
    </row>
    <row r="8" spans="1:11" x14ac:dyDescent="0.3">
      <c r="A8" s="61" t="s">
        <v>666</v>
      </c>
      <c r="B8" s="152">
        <v>68.2</v>
      </c>
      <c r="C8" s="152"/>
      <c r="D8" s="152">
        <v>40.299999999999997</v>
      </c>
      <c r="E8" s="152">
        <v>66.7</v>
      </c>
      <c r="F8" s="152">
        <v>46.9</v>
      </c>
      <c r="G8" s="152">
        <v>70.400000000000006</v>
      </c>
      <c r="H8" s="152"/>
      <c r="I8" s="152">
        <v>59.944444444444429</v>
      </c>
    </row>
    <row r="9" spans="1:11" x14ac:dyDescent="0.3">
      <c r="A9" s="61" t="s">
        <v>667</v>
      </c>
      <c r="B9" s="152">
        <v>72.239999999999995</v>
      </c>
      <c r="C9" s="152"/>
      <c r="D9" s="152">
        <v>52.866666666666667</v>
      </c>
      <c r="E9" s="152">
        <v>60.466666666666669</v>
      </c>
      <c r="F9" s="152">
        <v>72.8</v>
      </c>
      <c r="G9" s="152"/>
      <c r="H9" s="152">
        <v>83.2</v>
      </c>
      <c r="I9" s="152">
        <v>67.171428571428578</v>
      </c>
    </row>
    <row r="10" spans="1:11" x14ac:dyDescent="0.3">
      <c r="A10" s="61" t="s">
        <v>297</v>
      </c>
      <c r="B10" s="152">
        <v>71.566666666666663</v>
      </c>
      <c r="C10" s="152">
        <v>73.7</v>
      </c>
      <c r="D10" s="152">
        <v>48.966666666666661</v>
      </c>
      <c r="E10" s="152">
        <v>64.028571428571425</v>
      </c>
      <c r="F10" s="152">
        <v>60.2</v>
      </c>
      <c r="G10" s="152">
        <v>70.400000000000006</v>
      </c>
      <c r="H10" s="152">
        <v>69.433333333333337</v>
      </c>
      <c r="I10" s="152">
        <v>63.389655172413789</v>
      </c>
    </row>
  </sheetData>
  <hyperlinks>
    <hyperlink ref="K2" location="Obsah!A1" display="Obsah"/>
  </hyperlinks>
  <pageMargins left="0.7" right="0.7" top="0.78740157499999996" bottom="0.78740157499999996" header="0.3" footer="0.3"/>
  <pageSetup paperSize="9" orientation="portrait"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rgb="FFFF6600"/>
  </sheetPr>
  <dimension ref="A2:Q110"/>
  <sheetViews>
    <sheetView workbookViewId="0">
      <selection activeCell="N2" sqref="N2"/>
    </sheetView>
  </sheetViews>
  <sheetFormatPr defaultRowHeight="14.4" x14ac:dyDescent="0.3"/>
  <cols>
    <col min="6" max="6" width="13.88671875" customWidth="1"/>
    <col min="7" max="7" width="16.33203125" bestFit="1" customWidth="1"/>
  </cols>
  <sheetData>
    <row r="2" spans="1:17" s="146" customFormat="1" ht="26.25" customHeight="1" thickBot="1" x14ac:dyDescent="0.35">
      <c r="A2" s="151" t="s">
        <v>243</v>
      </c>
      <c r="B2" s="151" t="s">
        <v>178</v>
      </c>
      <c r="C2" s="151" t="s">
        <v>244</v>
      </c>
      <c r="D2" s="151" t="s">
        <v>245</v>
      </c>
      <c r="E2" s="151" t="s">
        <v>246</v>
      </c>
      <c r="F2" s="151" t="s">
        <v>1</v>
      </c>
      <c r="G2" s="151" t="s">
        <v>247</v>
      </c>
      <c r="H2" s="151" t="s">
        <v>248</v>
      </c>
      <c r="I2" s="151" t="s">
        <v>249</v>
      </c>
      <c r="J2" s="151" t="s">
        <v>250</v>
      </c>
      <c r="K2" s="151" t="s">
        <v>282</v>
      </c>
      <c r="L2" s="151" t="s">
        <v>251</v>
      </c>
      <c r="N2" s="182" t="s">
        <v>1148</v>
      </c>
    </row>
    <row r="3" spans="1:17" x14ac:dyDescent="0.3">
      <c r="A3">
        <v>0</v>
      </c>
      <c r="B3" t="s">
        <v>253</v>
      </c>
      <c r="C3" t="s">
        <v>264</v>
      </c>
      <c r="D3" t="s">
        <v>277</v>
      </c>
      <c r="E3">
        <v>201</v>
      </c>
      <c r="F3" s="28">
        <v>26912</v>
      </c>
      <c r="G3">
        <v>180</v>
      </c>
      <c r="H3" s="141">
        <v>78</v>
      </c>
      <c r="I3">
        <v>1</v>
      </c>
      <c r="J3">
        <v>45</v>
      </c>
      <c r="K3">
        <v>1.4</v>
      </c>
      <c r="L3">
        <v>67.5</v>
      </c>
    </row>
    <row r="4" spans="1:17" x14ac:dyDescent="0.3">
      <c r="A4">
        <v>1</v>
      </c>
      <c r="B4" t="s">
        <v>631</v>
      </c>
      <c r="C4" t="s">
        <v>639</v>
      </c>
      <c r="D4" t="s">
        <v>276</v>
      </c>
      <c r="E4">
        <v>201</v>
      </c>
      <c r="F4" s="28">
        <v>28397</v>
      </c>
      <c r="G4">
        <v>180</v>
      </c>
      <c r="H4" s="141">
        <v>78</v>
      </c>
      <c r="I4">
        <v>0</v>
      </c>
      <c r="J4">
        <v>36</v>
      </c>
      <c r="K4">
        <v>1.6</v>
      </c>
      <c r="L4">
        <v>105</v>
      </c>
    </row>
    <row r="5" spans="1:17" x14ac:dyDescent="0.3">
      <c r="A5">
        <v>0</v>
      </c>
      <c r="B5" t="s">
        <v>186</v>
      </c>
      <c r="C5" t="s">
        <v>267</v>
      </c>
      <c r="D5" t="s">
        <v>280</v>
      </c>
      <c r="E5">
        <v>111</v>
      </c>
      <c r="F5" s="28">
        <v>28382</v>
      </c>
      <c r="G5">
        <v>164</v>
      </c>
      <c r="H5">
        <v>65</v>
      </c>
      <c r="I5">
        <v>1</v>
      </c>
      <c r="J5">
        <v>52</v>
      </c>
      <c r="K5">
        <v>1.4</v>
      </c>
      <c r="L5">
        <v>73.7</v>
      </c>
      <c r="N5" t="s">
        <v>245</v>
      </c>
      <c r="O5" t="s">
        <v>243</v>
      </c>
      <c r="P5" t="s">
        <v>245</v>
      </c>
      <c r="Q5" t="s">
        <v>243</v>
      </c>
    </row>
    <row r="6" spans="1:17" x14ac:dyDescent="0.3">
      <c r="A6">
        <v>0</v>
      </c>
      <c r="B6" t="s">
        <v>256</v>
      </c>
      <c r="C6" t="s">
        <v>268</v>
      </c>
      <c r="D6" t="s">
        <v>281</v>
      </c>
      <c r="E6">
        <v>311</v>
      </c>
      <c r="F6" s="28">
        <v>28697</v>
      </c>
      <c r="G6">
        <v>182</v>
      </c>
      <c r="H6" s="141">
        <v>54</v>
      </c>
      <c r="I6">
        <v>1</v>
      </c>
      <c r="J6">
        <v>64</v>
      </c>
      <c r="K6">
        <v>1.1000000000000001</v>
      </c>
      <c r="L6">
        <v>83.2</v>
      </c>
      <c r="N6" t="s">
        <v>277</v>
      </c>
      <c r="O6">
        <v>1</v>
      </c>
      <c r="P6" t="s">
        <v>276</v>
      </c>
      <c r="Q6">
        <v>1</v>
      </c>
    </row>
    <row r="7" spans="1:17" x14ac:dyDescent="0.3">
      <c r="A7">
        <v>0</v>
      </c>
      <c r="B7" t="s">
        <v>258</v>
      </c>
      <c r="C7" t="s">
        <v>270</v>
      </c>
      <c r="D7" t="s">
        <v>277</v>
      </c>
      <c r="E7">
        <v>211</v>
      </c>
      <c r="F7" s="28">
        <v>28622</v>
      </c>
      <c r="G7">
        <v>176</v>
      </c>
      <c r="H7" s="141">
        <v>68</v>
      </c>
      <c r="I7">
        <v>0</v>
      </c>
      <c r="J7">
        <v>75</v>
      </c>
      <c r="K7">
        <v>1.3</v>
      </c>
      <c r="L7">
        <v>79.2</v>
      </c>
      <c r="N7" t="s">
        <v>281</v>
      </c>
      <c r="O7">
        <v>1</v>
      </c>
      <c r="P7" t="s">
        <v>278</v>
      </c>
      <c r="Q7">
        <v>1</v>
      </c>
    </row>
    <row r="8" spans="1:17" x14ac:dyDescent="0.3">
      <c r="A8">
        <v>0</v>
      </c>
      <c r="B8" t="s">
        <v>637</v>
      </c>
      <c r="C8" t="s">
        <v>644</v>
      </c>
      <c r="D8" t="s">
        <v>280</v>
      </c>
      <c r="E8">
        <v>111</v>
      </c>
      <c r="F8" s="28">
        <v>28382</v>
      </c>
      <c r="G8">
        <v>165</v>
      </c>
      <c r="H8">
        <v>65</v>
      </c>
      <c r="I8">
        <v>1</v>
      </c>
      <c r="J8">
        <v>52</v>
      </c>
      <c r="K8">
        <v>1.4</v>
      </c>
      <c r="L8">
        <v>73.7</v>
      </c>
      <c r="N8" t="s">
        <v>279</v>
      </c>
      <c r="O8">
        <v>1</v>
      </c>
      <c r="P8" t="s">
        <v>280</v>
      </c>
      <c r="Q8">
        <v>1</v>
      </c>
    </row>
    <row r="9" spans="1:17" x14ac:dyDescent="0.3">
      <c r="A9">
        <v>1</v>
      </c>
      <c r="B9" t="s">
        <v>645</v>
      </c>
      <c r="C9" t="s">
        <v>266</v>
      </c>
      <c r="D9" t="s">
        <v>278</v>
      </c>
      <c r="E9">
        <v>101</v>
      </c>
      <c r="F9" s="28">
        <v>28403</v>
      </c>
      <c r="G9">
        <v>154</v>
      </c>
      <c r="H9" s="141">
        <v>56</v>
      </c>
      <c r="I9" s="141">
        <v>0</v>
      </c>
      <c r="J9" s="141">
        <v>34</v>
      </c>
      <c r="K9" s="141">
        <v>1.1000000000000001</v>
      </c>
      <c r="L9" s="141">
        <v>54.6</v>
      </c>
      <c r="N9" t="s">
        <v>622</v>
      </c>
      <c r="O9">
        <v>1</v>
      </c>
      <c r="Q9">
        <v>1</v>
      </c>
    </row>
    <row r="10" spans="1:17" x14ac:dyDescent="0.3">
      <c r="A10">
        <v>0</v>
      </c>
      <c r="B10" t="s">
        <v>261</v>
      </c>
      <c r="C10" t="s">
        <v>273</v>
      </c>
      <c r="D10" t="s">
        <v>277</v>
      </c>
      <c r="E10">
        <v>111</v>
      </c>
      <c r="F10" s="28">
        <v>28624</v>
      </c>
      <c r="G10">
        <v>185</v>
      </c>
      <c r="H10" s="141">
        <v>76</v>
      </c>
      <c r="I10">
        <v>1</v>
      </c>
      <c r="J10">
        <v>44</v>
      </c>
      <c r="K10">
        <v>1.5</v>
      </c>
      <c r="L10">
        <v>46.4</v>
      </c>
    </row>
    <row r="11" spans="1:17" x14ac:dyDescent="0.3">
      <c r="A11">
        <v>0</v>
      </c>
      <c r="B11" t="s">
        <v>635</v>
      </c>
      <c r="C11" t="s">
        <v>642</v>
      </c>
      <c r="D11" t="s">
        <v>278</v>
      </c>
      <c r="E11">
        <v>211</v>
      </c>
      <c r="F11" s="28">
        <v>28527</v>
      </c>
      <c r="G11">
        <v>168</v>
      </c>
      <c r="H11">
        <v>86</v>
      </c>
      <c r="I11">
        <v>0</v>
      </c>
      <c r="J11">
        <v>31</v>
      </c>
      <c r="K11">
        <v>1.5</v>
      </c>
      <c r="L11">
        <v>40.299999999999997</v>
      </c>
    </row>
    <row r="12" spans="1:17" x14ac:dyDescent="0.3">
      <c r="A12">
        <v>0</v>
      </c>
      <c r="B12" t="s">
        <v>626</v>
      </c>
      <c r="C12" t="s">
        <v>416</v>
      </c>
      <c r="D12" t="s">
        <v>281</v>
      </c>
      <c r="E12">
        <v>311</v>
      </c>
      <c r="F12" s="28">
        <v>28697</v>
      </c>
      <c r="G12">
        <v>182</v>
      </c>
      <c r="H12" s="141">
        <v>54</v>
      </c>
      <c r="I12">
        <v>1</v>
      </c>
      <c r="J12">
        <v>64</v>
      </c>
      <c r="K12">
        <v>1.1000000000000001</v>
      </c>
      <c r="L12">
        <v>83.2</v>
      </c>
      <c r="N12" t="s">
        <v>245</v>
      </c>
      <c r="O12" t="s">
        <v>243</v>
      </c>
      <c r="P12" t="s">
        <v>245</v>
      </c>
      <c r="Q12" t="s">
        <v>243</v>
      </c>
    </row>
    <row r="13" spans="1:17" x14ac:dyDescent="0.3">
      <c r="A13">
        <v>1</v>
      </c>
      <c r="B13" t="s">
        <v>254</v>
      </c>
      <c r="C13" t="s">
        <v>266</v>
      </c>
      <c r="D13" t="s">
        <v>279</v>
      </c>
      <c r="E13">
        <v>111</v>
      </c>
      <c r="F13" s="28">
        <v>28564</v>
      </c>
      <c r="G13">
        <v>182</v>
      </c>
      <c r="H13" s="141">
        <v>76</v>
      </c>
      <c r="I13">
        <v>0</v>
      </c>
      <c r="J13">
        <v>22</v>
      </c>
      <c r="K13">
        <v>1.2</v>
      </c>
      <c r="L13">
        <v>72.8</v>
      </c>
      <c r="N13" t="s">
        <v>277</v>
      </c>
      <c r="O13">
        <v>0</v>
      </c>
      <c r="P13" t="s">
        <v>276</v>
      </c>
      <c r="Q13">
        <v>0</v>
      </c>
    </row>
    <row r="14" spans="1:17" x14ac:dyDescent="0.3">
      <c r="A14">
        <v>0</v>
      </c>
      <c r="B14" t="s">
        <v>255</v>
      </c>
      <c r="C14" t="s">
        <v>265</v>
      </c>
      <c r="D14" t="s">
        <v>278</v>
      </c>
      <c r="E14">
        <v>211</v>
      </c>
      <c r="F14" s="28">
        <v>28527</v>
      </c>
      <c r="G14">
        <v>172</v>
      </c>
      <c r="H14">
        <v>86</v>
      </c>
      <c r="I14">
        <v>0</v>
      </c>
      <c r="J14">
        <v>31</v>
      </c>
      <c r="K14">
        <v>1.5</v>
      </c>
      <c r="L14">
        <v>40.299999999999997</v>
      </c>
      <c r="N14" t="s">
        <v>281</v>
      </c>
      <c r="O14">
        <v>0</v>
      </c>
      <c r="P14" t="s">
        <v>278</v>
      </c>
      <c r="Q14">
        <v>0</v>
      </c>
    </row>
    <row r="15" spans="1:17" x14ac:dyDescent="0.3">
      <c r="A15">
        <v>0</v>
      </c>
      <c r="B15" t="s">
        <v>262</v>
      </c>
      <c r="C15" t="s">
        <v>274</v>
      </c>
      <c r="D15" t="s">
        <v>276</v>
      </c>
      <c r="E15">
        <v>111</v>
      </c>
      <c r="F15" s="28">
        <v>29103</v>
      </c>
      <c r="G15">
        <v>180</v>
      </c>
      <c r="H15" s="141">
        <v>80</v>
      </c>
      <c r="I15">
        <v>0</v>
      </c>
      <c r="J15">
        <v>29</v>
      </c>
      <c r="K15">
        <v>1.3</v>
      </c>
      <c r="L15">
        <v>54</v>
      </c>
      <c r="N15" t="s">
        <v>279</v>
      </c>
      <c r="O15">
        <v>0</v>
      </c>
      <c r="P15" t="s">
        <v>280</v>
      </c>
      <c r="Q15">
        <v>0</v>
      </c>
    </row>
    <row r="16" spans="1:17" x14ac:dyDescent="0.3">
      <c r="A16">
        <v>1</v>
      </c>
      <c r="B16" t="s">
        <v>646</v>
      </c>
      <c r="C16" t="s">
        <v>550</v>
      </c>
      <c r="D16" t="s">
        <v>279</v>
      </c>
      <c r="E16">
        <v>201</v>
      </c>
      <c r="F16" s="28">
        <v>28743</v>
      </c>
      <c r="G16">
        <v>156</v>
      </c>
      <c r="H16" s="141">
        <v>51</v>
      </c>
      <c r="I16" s="141">
        <v>0</v>
      </c>
      <c r="J16" s="141">
        <v>56</v>
      </c>
      <c r="K16" s="141">
        <v>1.2</v>
      </c>
      <c r="L16" s="141">
        <v>74.2</v>
      </c>
      <c r="N16" t="s">
        <v>622</v>
      </c>
      <c r="O16">
        <v>0</v>
      </c>
      <c r="Q16">
        <v>0</v>
      </c>
    </row>
    <row r="17" spans="1:12" x14ac:dyDescent="0.3">
      <c r="A17">
        <v>1</v>
      </c>
      <c r="B17" t="s">
        <v>629</v>
      </c>
      <c r="C17" t="s">
        <v>269</v>
      </c>
      <c r="D17" t="s">
        <v>278</v>
      </c>
      <c r="E17">
        <v>311</v>
      </c>
      <c r="F17" s="28">
        <v>28197</v>
      </c>
      <c r="G17">
        <v>182</v>
      </c>
      <c r="H17" s="141">
        <v>55</v>
      </c>
      <c r="I17">
        <v>1</v>
      </c>
      <c r="J17">
        <v>36</v>
      </c>
      <c r="K17">
        <v>1.5</v>
      </c>
      <c r="L17">
        <v>61.6</v>
      </c>
    </row>
    <row r="18" spans="1:12" x14ac:dyDescent="0.3">
      <c r="A18">
        <v>1</v>
      </c>
      <c r="B18" t="s">
        <v>260</v>
      </c>
      <c r="C18" t="s">
        <v>272</v>
      </c>
      <c r="D18" t="s">
        <v>278</v>
      </c>
      <c r="E18">
        <v>311</v>
      </c>
      <c r="F18" s="28">
        <v>28197</v>
      </c>
      <c r="G18">
        <v>182</v>
      </c>
      <c r="H18" s="141">
        <v>55</v>
      </c>
      <c r="I18">
        <v>1</v>
      </c>
      <c r="J18">
        <v>36</v>
      </c>
      <c r="K18">
        <v>1.5</v>
      </c>
      <c r="L18">
        <v>61.6</v>
      </c>
    </row>
    <row r="19" spans="1:12" x14ac:dyDescent="0.3">
      <c r="A19">
        <v>0</v>
      </c>
      <c r="B19" t="s">
        <v>648</v>
      </c>
      <c r="C19" t="s">
        <v>650</v>
      </c>
      <c r="D19" t="s">
        <v>276</v>
      </c>
      <c r="E19">
        <v>211</v>
      </c>
      <c r="F19" s="28">
        <v>27496</v>
      </c>
      <c r="G19">
        <v>178</v>
      </c>
      <c r="H19" s="141">
        <v>69</v>
      </c>
      <c r="I19" s="141">
        <v>1</v>
      </c>
      <c r="J19" s="141">
        <v>45</v>
      </c>
      <c r="K19" s="141">
        <v>1.4</v>
      </c>
      <c r="L19" s="141">
        <v>68.2</v>
      </c>
    </row>
    <row r="20" spans="1:12" x14ac:dyDescent="0.3">
      <c r="A20">
        <v>1</v>
      </c>
      <c r="B20" t="s">
        <v>252</v>
      </c>
      <c r="C20" t="s">
        <v>195</v>
      </c>
      <c r="D20" t="s">
        <v>276</v>
      </c>
      <c r="E20">
        <v>111</v>
      </c>
      <c r="F20" s="28">
        <v>26879</v>
      </c>
      <c r="G20">
        <v>185</v>
      </c>
      <c r="H20">
        <v>75</v>
      </c>
      <c r="I20">
        <v>0</v>
      </c>
      <c r="J20">
        <v>36</v>
      </c>
      <c r="K20">
        <v>1.2</v>
      </c>
      <c r="L20">
        <v>43.2</v>
      </c>
    </row>
    <row r="21" spans="1:12" x14ac:dyDescent="0.3">
      <c r="A21">
        <v>0</v>
      </c>
      <c r="B21" t="s">
        <v>647</v>
      </c>
      <c r="C21" t="s">
        <v>267</v>
      </c>
      <c r="D21" t="s">
        <v>278</v>
      </c>
      <c r="E21">
        <v>111</v>
      </c>
      <c r="F21" s="28">
        <v>28614</v>
      </c>
      <c r="G21">
        <v>185</v>
      </c>
      <c r="H21" s="141">
        <v>78</v>
      </c>
      <c r="I21" s="141">
        <v>0</v>
      </c>
      <c r="J21" s="141">
        <v>34</v>
      </c>
      <c r="K21" s="141">
        <v>1.3</v>
      </c>
      <c r="L21" s="141">
        <v>35.4</v>
      </c>
    </row>
    <row r="22" spans="1:12" x14ac:dyDescent="0.3">
      <c r="A22">
        <v>0</v>
      </c>
      <c r="B22" t="s">
        <v>259</v>
      </c>
      <c r="C22" t="s">
        <v>271</v>
      </c>
      <c r="D22" t="s">
        <v>279</v>
      </c>
      <c r="E22">
        <v>211</v>
      </c>
      <c r="F22" s="28">
        <v>28725</v>
      </c>
      <c r="G22">
        <v>174</v>
      </c>
      <c r="H22">
        <v>56</v>
      </c>
      <c r="I22">
        <v>0</v>
      </c>
      <c r="J22">
        <v>66</v>
      </c>
      <c r="K22">
        <v>1.4</v>
      </c>
      <c r="L22">
        <v>46.9</v>
      </c>
    </row>
    <row r="23" spans="1:12" x14ac:dyDescent="0.3">
      <c r="A23">
        <v>1</v>
      </c>
      <c r="B23" t="s">
        <v>649</v>
      </c>
      <c r="C23" t="s">
        <v>651</v>
      </c>
      <c r="D23" t="s">
        <v>281</v>
      </c>
      <c r="E23">
        <v>101</v>
      </c>
      <c r="F23" s="28">
        <v>28271</v>
      </c>
      <c r="G23">
        <v>152</v>
      </c>
      <c r="H23" s="141">
        <v>65</v>
      </c>
      <c r="I23" s="141">
        <v>1</v>
      </c>
      <c r="J23" s="141">
        <v>29</v>
      </c>
      <c r="K23" s="141">
        <v>1.2</v>
      </c>
      <c r="L23" s="141">
        <v>41.9</v>
      </c>
    </row>
    <row r="24" spans="1:12" x14ac:dyDescent="0.3">
      <c r="A24">
        <v>0</v>
      </c>
      <c r="B24" t="s">
        <v>633</v>
      </c>
      <c r="C24" t="s">
        <v>640</v>
      </c>
      <c r="D24" t="s">
        <v>277</v>
      </c>
      <c r="E24">
        <v>101</v>
      </c>
      <c r="F24" s="28">
        <v>28160</v>
      </c>
      <c r="G24">
        <v>179</v>
      </c>
      <c r="H24" s="141">
        <v>78</v>
      </c>
      <c r="I24">
        <v>1</v>
      </c>
      <c r="J24">
        <v>36</v>
      </c>
      <c r="K24">
        <v>1.4</v>
      </c>
      <c r="L24">
        <v>54.2</v>
      </c>
    </row>
    <row r="25" spans="1:12" x14ac:dyDescent="0.3">
      <c r="A25">
        <v>0</v>
      </c>
      <c r="B25" t="s">
        <v>632</v>
      </c>
      <c r="C25" t="s">
        <v>268</v>
      </c>
      <c r="D25" t="s">
        <v>276</v>
      </c>
      <c r="E25">
        <v>111</v>
      </c>
      <c r="F25" s="28">
        <v>29103</v>
      </c>
      <c r="G25">
        <v>180</v>
      </c>
      <c r="H25" s="141">
        <v>80</v>
      </c>
      <c r="I25">
        <v>0</v>
      </c>
      <c r="J25">
        <v>29</v>
      </c>
      <c r="K25">
        <v>1.3</v>
      </c>
      <c r="L25">
        <v>54</v>
      </c>
    </row>
    <row r="26" spans="1:12" x14ac:dyDescent="0.3">
      <c r="A26">
        <v>0</v>
      </c>
      <c r="B26" t="s">
        <v>630</v>
      </c>
      <c r="C26" t="s">
        <v>638</v>
      </c>
      <c r="D26" t="s">
        <v>277</v>
      </c>
      <c r="E26">
        <v>201</v>
      </c>
      <c r="F26" s="28">
        <v>26912</v>
      </c>
      <c r="G26">
        <v>180</v>
      </c>
      <c r="H26" s="141">
        <v>78</v>
      </c>
      <c r="I26">
        <v>1</v>
      </c>
      <c r="J26">
        <v>45</v>
      </c>
      <c r="K26">
        <v>1.4</v>
      </c>
      <c r="L26">
        <v>67.5</v>
      </c>
    </row>
    <row r="27" spans="1:12" x14ac:dyDescent="0.3">
      <c r="A27">
        <v>1</v>
      </c>
      <c r="B27" t="s">
        <v>257</v>
      </c>
      <c r="C27" t="s">
        <v>269</v>
      </c>
      <c r="D27" t="s">
        <v>276</v>
      </c>
      <c r="E27">
        <v>201</v>
      </c>
      <c r="F27" s="28">
        <v>28397</v>
      </c>
      <c r="G27">
        <v>180</v>
      </c>
      <c r="H27" s="141">
        <v>78</v>
      </c>
      <c r="I27">
        <v>0</v>
      </c>
      <c r="J27">
        <v>36</v>
      </c>
      <c r="K27">
        <v>1.6</v>
      </c>
      <c r="L27">
        <v>105</v>
      </c>
    </row>
    <row r="28" spans="1:12" x14ac:dyDescent="0.3">
      <c r="A28">
        <v>0</v>
      </c>
      <c r="B28" t="s">
        <v>636</v>
      </c>
      <c r="C28" t="s">
        <v>643</v>
      </c>
      <c r="D28" t="s">
        <v>279</v>
      </c>
      <c r="E28">
        <v>211</v>
      </c>
      <c r="F28" s="28">
        <v>28725</v>
      </c>
      <c r="G28">
        <v>170</v>
      </c>
      <c r="H28">
        <v>56</v>
      </c>
      <c r="I28">
        <v>0</v>
      </c>
      <c r="J28">
        <v>66</v>
      </c>
      <c r="K28">
        <v>1.4</v>
      </c>
      <c r="L28">
        <v>46.9</v>
      </c>
    </row>
    <row r="29" spans="1:12" x14ac:dyDescent="0.3">
      <c r="A29">
        <v>0</v>
      </c>
      <c r="B29" t="s">
        <v>634</v>
      </c>
      <c r="C29" t="s">
        <v>641</v>
      </c>
      <c r="D29" t="s">
        <v>277</v>
      </c>
      <c r="E29">
        <v>211</v>
      </c>
      <c r="F29" s="28">
        <v>28622</v>
      </c>
      <c r="G29">
        <v>175</v>
      </c>
      <c r="H29" s="141">
        <v>68</v>
      </c>
      <c r="I29">
        <v>0</v>
      </c>
      <c r="J29">
        <v>75</v>
      </c>
      <c r="K29">
        <v>1.3</v>
      </c>
      <c r="L29">
        <v>79.2</v>
      </c>
    </row>
    <row r="30" spans="1:12" x14ac:dyDescent="0.3">
      <c r="A30">
        <v>1</v>
      </c>
      <c r="B30" t="s">
        <v>627</v>
      </c>
      <c r="C30" t="s">
        <v>628</v>
      </c>
      <c r="D30" t="s">
        <v>622</v>
      </c>
      <c r="E30">
        <v>101</v>
      </c>
      <c r="F30" s="28">
        <v>27895</v>
      </c>
      <c r="G30">
        <v>178</v>
      </c>
      <c r="H30" s="141">
        <v>72</v>
      </c>
      <c r="I30" s="141">
        <v>1</v>
      </c>
      <c r="J30" s="141">
        <v>30</v>
      </c>
      <c r="K30" s="141">
        <v>1.5</v>
      </c>
      <c r="L30" s="141">
        <v>70.400000000000006</v>
      </c>
    </row>
    <row r="31" spans="1:12" x14ac:dyDescent="0.3">
      <c r="A31">
        <v>0</v>
      </c>
      <c r="B31" t="s">
        <v>263</v>
      </c>
      <c r="C31" t="s">
        <v>275</v>
      </c>
      <c r="D31" t="s">
        <v>277</v>
      </c>
      <c r="E31">
        <v>101</v>
      </c>
      <c r="F31" s="28">
        <v>28160</v>
      </c>
      <c r="G31">
        <v>179</v>
      </c>
      <c r="H31" s="141">
        <v>78</v>
      </c>
      <c r="I31">
        <v>1</v>
      </c>
      <c r="J31">
        <v>36</v>
      </c>
      <c r="K31">
        <v>1.4</v>
      </c>
      <c r="L31">
        <v>54.2</v>
      </c>
    </row>
    <row r="33" spans="1:12" x14ac:dyDescent="0.3">
      <c r="A33" t="s">
        <v>306</v>
      </c>
    </row>
    <row r="34" spans="1:12" ht="15" thickBot="1" x14ac:dyDescent="0.35">
      <c r="A34" s="151" t="s">
        <v>243</v>
      </c>
      <c r="B34" s="151" t="s">
        <v>178</v>
      </c>
      <c r="C34" s="151" t="s">
        <v>244</v>
      </c>
      <c r="D34" s="151" t="s">
        <v>245</v>
      </c>
      <c r="E34" s="151" t="s">
        <v>246</v>
      </c>
      <c r="F34" s="151" t="s">
        <v>1</v>
      </c>
      <c r="G34" s="151" t="s">
        <v>247</v>
      </c>
      <c r="H34" s="151" t="s">
        <v>248</v>
      </c>
      <c r="I34" s="151" t="s">
        <v>249</v>
      </c>
      <c r="J34" s="151" t="s">
        <v>250</v>
      </c>
      <c r="K34" s="151" t="s">
        <v>282</v>
      </c>
      <c r="L34" s="151" t="s">
        <v>251</v>
      </c>
    </row>
    <row r="35" spans="1:12" x14ac:dyDescent="0.3">
      <c r="A35">
        <v>0</v>
      </c>
      <c r="B35" t="s">
        <v>253</v>
      </c>
      <c r="C35" t="s">
        <v>264</v>
      </c>
      <c r="D35" t="s">
        <v>277</v>
      </c>
      <c r="E35">
        <v>201</v>
      </c>
      <c r="F35" s="28">
        <v>26912</v>
      </c>
      <c r="G35">
        <v>180</v>
      </c>
      <c r="H35" s="141">
        <v>78</v>
      </c>
      <c r="I35">
        <v>1</v>
      </c>
      <c r="J35">
        <v>45</v>
      </c>
      <c r="K35">
        <v>1.4</v>
      </c>
      <c r="L35">
        <v>67.5</v>
      </c>
    </row>
    <row r="36" spans="1:12" x14ac:dyDescent="0.3">
      <c r="A36">
        <v>0</v>
      </c>
      <c r="B36" t="s">
        <v>256</v>
      </c>
      <c r="C36" t="s">
        <v>268</v>
      </c>
      <c r="D36" t="s">
        <v>281</v>
      </c>
      <c r="E36">
        <v>311</v>
      </c>
      <c r="F36" s="28">
        <v>28697</v>
      </c>
      <c r="G36">
        <v>182</v>
      </c>
      <c r="H36" s="141">
        <v>54</v>
      </c>
      <c r="I36">
        <v>1</v>
      </c>
      <c r="J36">
        <v>64</v>
      </c>
      <c r="K36">
        <v>1.1000000000000001</v>
      </c>
      <c r="L36">
        <v>83.2</v>
      </c>
    </row>
    <row r="37" spans="1:12" x14ac:dyDescent="0.3">
      <c r="A37">
        <v>0</v>
      </c>
      <c r="B37" t="s">
        <v>258</v>
      </c>
      <c r="C37" t="s">
        <v>270</v>
      </c>
      <c r="D37" t="s">
        <v>277</v>
      </c>
      <c r="E37">
        <v>211</v>
      </c>
      <c r="F37" s="28">
        <v>28622</v>
      </c>
      <c r="G37">
        <v>176</v>
      </c>
      <c r="H37" s="141">
        <v>68</v>
      </c>
      <c r="I37">
        <v>0</v>
      </c>
      <c r="J37">
        <v>75</v>
      </c>
      <c r="K37">
        <v>1.3</v>
      </c>
      <c r="L37">
        <v>79.2</v>
      </c>
    </row>
    <row r="38" spans="1:12" x14ac:dyDescent="0.3">
      <c r="A38">
        <v>0</v>
      </c>
      <c r="B38" t="s">
        <v>261</v>
      </c>
      <c r="C38" t="s">
        <v>273</v>
      </c>
      <c r="D38" t="s">
        <v>277</v>
      </c>
      <c r="E38">
        <v>111</v>
      </c>
      <c r="F38" s="28">
        <v>28624</v>
      </c>
      <c r="G38">
        <v>185</v>
      </c>
      <c r="H38" s="141">
        <v>76</v>
      </c>
      <c r="I38">
        <v>1</v>
      </c>
      <c r="J38">
        <v>44</v>
      </c>
      <c r="K38">
        <v>1.5</v>
      </c>
      <c r="L38">
        <v>46.4</v>
      </c>
    </row>
    <row r="39" spans="1:12" x14ac:dyDescent="0.3">
      <c r="A39">
        <v>0</v>
      </c>
      <c r="B39" t="s">
        <v>626</v>
      </c>
      <c r="C39" t="s">
        <v>416</v>
      </c>
      <c r="D39" t="s">
        <v>281</v>
      </c>
      <c r="E39">
        <v>311</v>
      </c>
      <c r="F39" s="28">
        <v>28697</v>
      </c>
      <c r="G39">
        <v>182</v>
      </c>
      <c r="H39" s="141">
        <v>54</v>
      </c>
      <c r="I39">
        <v>1</v>
      </c>
      <c r="J39">
        <v>64</v>
      </c>
      <c r="K39">
        <v>1.1000000000000001</v>
      </c>
      <c r="L39">
        <v>83.2</v>
      </c>
    </row>
    <row r="40" spans="1:12" x14ac:dyDescent="0.3">
      <c r="A40">
        <v>1</v>
      </c>
      <c r="B40" t="s">
        <v>254</v>
      </c>
      <c r="C40" t="s">
        <v>266</v>
      </c>
      <c r="D40" t="s">
        <v>279</v>
      </c>
      <c r="E40">
        <v>111</v>
      </c>
      <c r="F40" s="28">
        <v>28564</v>
      </c>
      <c r="G40">
        <v>182</v>
      </c>
      <c r="H40" s="141">
        <v>76</v>
      </c>
      <c r="I40">
        <v>0</v>
      </c>
      <c r="J40">
        <v>22</v>
      </c>
      <c r="K40">
        <v>1.2</v>
      </c>
      <c r="L40">
        <v>72.8</v>
      </c>
    </row>
    <row r="41" spans="1:12" x14ac:dyDescent="0.3">
      <c r="A41">
        <v>1</v>
      </c>
      <c r="B41" t="s">
        <v>646</v>
      </c>
      <c r="C41" t="s">
        <v>550</v>
      </c>
      <c r="D41" t="s">
        <v>279</v>
      </c>
      <c r="E41">
        <v>201</v>
      </c>
      <c r="F41" s="28">
        <v>28743</v>
      </c>
      <c r="G41">
        <v>156</v>
      </c>
      <c r="H41" s="141">
        <v>51</v>
      </c>
      <c r="I41" s="141">
        <v>0</v>
      </c>
      <c r="J41" s="141">
        <v>56</v>
      </c>
      <c r="K41" s="141">
        <v>1.2</v>
      </c>
      <c r="L41" s="141">
        <v>74.2</v>
      </c>
    </row>
    <row r="42" spans="1:12" x14ac:dyDescent="0.3">
      <c r="A42">
        <v>0</v>
      </c>
      <c r="B42" t="s">
        <v>259</v>
      </c>
      <c r="C42" t="s">
        <v>271</v>
      </c>
      <c r="D42" t="s">
        <v>279</v>
      </c>
      <c r="E42">
        <v>211</v>
      </c>
      <c r="F42" s="28">
        <v>28725</v>
      </c>
      <c r="G42">
        <v>174</v>
      </c>
      <c r="H42">
        <v>56</v>
      </c>
      <c r="I42">
        <v>0</v>
      </c>
      <c r="J42">
        <v>66</v>
      </c>
      <c r="K42">
        <v>1.4</v>
      </c>
      <c r="L42">
        <v>46.9</v>
      </c>
    </row>
    <row r="43" spans="1:12" x14ac:dyDescent="0.3">
      <c r="A43">
        <v>1</v>
      </c>
      <c r="B43" t="s">
        <v>649</v>
      </c>
      <c r="C43" t="s">
        <v>651</v>
      </c>
      <c r="D43" t="s">
        <v>281</v>
      </c>
      <c r="E43">
        <v>101</v>
      </c>
      <c r="F43" s="28">
        <v>28271</v>
      </c>
      <c r="G43">
        <v>152</v>
      </c>
      <c r="H43" s="141">
        <v>65</v>
      </c>
      <c r="I43" s="141">
        <v>1</v>
      </c>
      <c r="J43" s="141">
        <v>29</v>
      </c>
      <c r="K43" s="141">
        <v>1.2</v>
      </c>
      <c r="L43" s="141">
        <v>41.9</v>
      </c>
    </row>
    <row r="44" spans="1:12" x14ac:dyDescent="0.3">
      <c r="A44">
        <v>0</v>
      </c>
      <c r="B44" t="s">
        <v>633</v>
      </c>
      <c r="C44" t="s">
        <v>640</v>
      </c>
      <c r="D44" t="s">
        <v>277</v>
      </c>
      <c r="E44">
        <v>101</v>
      </c>
      <c r="F44" s="28">
        <v>28160</v>
      </c>
      <c r="G44">
        <v>179</v>
      </c>
      <c r="H44" s="141">
        <v>78</v>
      </c>
      <c r="I44">
        <v>1</v>
      </c>
      <c r="J44">
        <v>36</v>
      </c>
      <c r="K44">
        <v>1.4</v>
      </c>
      <c r="L44">
        <v>54.2</v>
      </c>
    </row>
    <row r="45" spans="1:12" x14ac:dyDescent="0.3">
      <c r="A45">
        <v>0</v>
      </c>
      <c r="B45" t="s">
        <v>630</v>
      </c>
      <c r="C45" t="s">
        <v>638</v>
      </c>
      <c r="D45" t="s">
        <v>277</v>
      </c>
      <c r="E45">
        <v>201</v>
      </c>
      <c r="F45" s="28">
        <v>26912</v>
      </c>
      <c r="G45">
        <v>180</v>
      </c>
      <c r="H45" s="141">
        <v>78</v>
      </c>
      <c r="I45">
        <v>1</v>
      </c>
      <c r="J45">
        <v>45</v>
      </c>
      <c r="K45">
        <v>1.4</v>
      </c>
      <c r="L45">
        <v>67.5</v>
      </c>
    </row>
    <row r="46" spans="1:12" x14ac:dyDescent="0.3">
      <c r="A46">
        <v>0</v>
      </c>
      <c r="B46" t="s">
        <v>636</v>
      </c>
      <c r="C46" t="s">
        <v>643</v>
      </c>
      <c r="D46" t="s">
        <v>279</v>
      </c>
      <c r="E46">
        <v>211</v>
      </c>
      <c r="F46" s="28">
        <v>28725</v>
      </c>
      <c r="G46">
        <v>170</v>
      </c>
      <c r="H46">
        <v>56</v>
      </c>
      <c r="I46">
        <v>0</v>
      </c>
      <c r="J46">
        <v>66</v>
      </c>
      <c r="K46">
        <v>1.4</v>
      </c>
      <c r="L46">
        <v>46.9</v>
      </c>
    </row>
    <row r="47" spans="1:12" x14ac:dyDescent="0.3">
      <c r="A47">
        <v>0</v>
      </c>
      <c r="B47" t="s">
        <v>634</v>
      </c>
      <c r="C47" t="s">
        <v>641</v>
      </c>
      <c r="D47" t="s">
        <v>277</v>
      </c>
      <c r="E47">
        <v>211</v>
      </c>
      <c r="F47" s="28">
        <v>28622</v>
      </c>
      <c r="G47">
        <v>175</v>
      </c>
      <c r="H47" s="141">
        <v>68</v>
      </c>
      <c r="I47">
        <v>0</v>
      </c>
      <c r="J47">
        <v>75</v>
      </c>
      <c r="K47">
        <v>1.3</v>
      </c>
      <c r="L47">
        <v>79.2</v>
      </c>
    </row>
    <row r="48" spans="1:12" x14ac:dyDescent="0.3">
      <c r="A48">
        <v>1</v>
      </c>
      <c r="B48" t="s">
        <v>627</v>
      </c>
      <c r="C48" t="s">
        <v>628</v>
      </c>
      <c r="D48" t="s">
        <v>622</v>
      </c>
      <c r="E48">
        <v>101</v>
      </c>
      <c r="F48" s="28">
        <v>27895</v>
      </c>
      <c r="G48">
        <v>178</v>
      </c>
      <c r="H48" s="141">
        <v>72</v>
      </c>
      <c r="I48" s="141">
        <v>1</v>
      </c>
      <c r="J48" s="141">
        <v>30</v>
      </c>
      <c r="K48" s="141">
        <v>1.5</v>
      </c>
      <c r="L48" s="141">
        <v>70.400000000000006</v>
      </c>
    </row>
    <row r="49" spans="1:12" x14ac:dyDescent="0.3">
      <c r="A49">
        <v>0</v>
      </c>
      <c r="B49" t="s">
        <v>263</v>
      </c>
      <c r="C49" t="s">
        <v>275</v>
      </c>
      <c r="D49" t="s">
        <v>277</v>
      </c>
      <c r="E49">
        <v>101</v>
      </c>
      <c r="F49" s="28">
        <v>28160</v>
      </c>
      <c r="G49">
        <v>179</v>
      </c>
      <c r="H49" s="141">
        <v>78</v>
      </c>
      <c r="I49">
        <v>1</v>
      </c>
      <c r="J49">
        <v>36</v>
      </c>
      <c r="K49">
        <v>1.4</v>
      </c>
      <c r="L49">
        <v>54.2</v>
      </c>
    </row>
    <row r="50" spans="1:12" x14ac:dyDescent="0.3">
      <c r="G50">
        <f>AVERAGE(G35:G49)</f>
        <v>175.33333333333334</v>
      </c>
    </row>
    <row r="52" spans="1:12" x14ac:dyDescent="0.3">
      <c r="A52" t="s">
        <v>668</v>
      </c>
    </row>
    <row r="53" spans="1:12" ht="15" thickBot="1" x14ac:dyDescent="0.35">
      <c r="A53" s="151" t="s">
        <v>243</v>
      </c>
      <c r="B53" s="151" t="s">
        <v>178</v>
      </c>
      <c r="C53" s="151" t="s">
        <v>244</v>
      </c>
      <c r="D53" s="151" t="s">
        <v>245</v>
      </c>
      <c r="E53" s="151" t="s">
        <v>246</v>
      </c>
      <c r="F53" s="151" t="s">
        <v>1</v>
      </c>
      <c r="G53" s="151" t="s">
        <v>247</v>
      </c>
      <c r="H53" s="151" t="s">
        <v>248</v>
      </c>
      <c r="I53" s="151" t="s">
        <v>249</v>
      </c>
      <c r="J53" s="151" t="s">
        <v>250</v>
      </c>
      <c r="K53" s="151" t="s">
        <v>282</v>
      </c>
      <c r="L53" s="151" t="s">
        <v>251</v>
      </c>
    </row>
    <row r="54" spans="1:12" x14ac:dyDescent="0.3">
      <c r="A54">
        <v>1</v>
      </c>
      <c r="B54" t="s">
        <v>631</v>
      </c>
      <c r="C54" t="s">
        <v>639</v>
      </c>
      <c r="D54" t="s">
        <v>276</v>
      </c>
      <c r="E54">
        <v>201</v>
      </c>
      <c r="F54" s="28">
        <v>28397</v>
      </c>
      <c r="G54">
        <v>180</v>
      </c>
      <c r="H54" s="141">
        <v>78</v>
      </c>
      <c r="I54">
        <v>0</v>
      </c>
      <c r="J54">
        <v>36</v>
      </c>
      <c r="K54">
        <v>1.6</v>
      </c>
      <c r="L54">
        <v>105</v>
      </c>
    </row>
    <row r="55" spans="1:12" x14ac:dyDescent="0.3">
      <c r="A55">
        <v>0</v>
      </c>
      <c r="B55" t="s">
        <v>186</v>
      </c>
      <c r="C55" t="s">
        <v>267</v>
      </c>
      <c r="D55" t="s">
        <v>280</v>
      </c>
      <c r="E55">
        <v>111</v>
      </c>
      <c r="F55" s="28">
        <v>28382</v>
      </c>
      <c r="G55">
        <v>164</v>
      </c>
      <c r="H55">
        <v>65</v>
      </c>
      <c r="I55">
        <v>1</v>
      </c>
      <c r="J55">
        <v>52</v>
      </c>
      <c r="K55">
        <v>1.4</v>
      </c>
      <c r="L55">
        <v>73.7</v>
      </c>
    </row>
    <row r="56" spans="1:12" x14ac:dyDescent="0.3">
      <c r="A56">
        <v>0</v>
      </c>
      <c r="B56" t="s">
        <v>637</v>
      </c>
      <c r="C56" t="s">
        <v>644</v>
      </c>
      <c r="D56" t="s">
        <v>280</v>
      </c>
      <c r="E56">
        <v>111</v>
      </c>
      <c r="F56" s="28">
        <v>28382</v>
      </c>
      <c r="G56">
        <v>165</v>
      </c>
      <c r="H56">
        <v>65</v>
      </c>
      <c r="I56">
        <v>1</v>
      </c>
      <c r="J56">
        <v>52</v>
      </c>
      <c r="K56">
        <v>1.4</v>
      </c>
      <c r="L56">
        <v>73.7</v>
      </c>
    </row>
    <row r="57" spans="1:12" x14ac:dyDescent="0.3">
      <c r="A57">
        <v>1</v>
      </c>
      <c r="B57" t="s">
        <v>645</v>
      </c>
      <c r="C57" t="s">
        <v>266</v>
      </c>
      <c r="D57" t="s">
        <v>278</v>
      </c>
      <c r="E57">
        <v>101</v>
      </c>
      <c r="F57" s="28">
        <v>28403</v>
      </c>
      <c r="G57">
        <v>154</v>
      </c>
      <c r="H57" s="141">
        <v>56</v>
      </c>
      <c r="I57" s="141">
        <v>0</v>
      </c>
      <c r="J57" s="141">
        <v>34</v>
      </c>
      <c r="K57" s="141">
        <v>1.1000000000000001</v>
      </c>
      <c r="L57" s="141">
        <v>54.6</v>
      </c>
    </row>
    <row r="58" spans="1:12" x14ac:dyDescent="0.3">
      <c r="A58">
        <v>0</v>
      </c>
      <c r="B58" t="s">
        <v>635</v>
      </c>
      <c r="C58" t="s">
        <v>642</v>
      </c>
      <c r="D58" t="s">
        <v>278</v>
      </c>
      <c r="E58">
        <v>211</v>
      </c>
      <c r="F58" s="28">
        <v>28527</v>
      </c>
      <c r="G58">
        <v>168</v>
      </c>
      <c r="H58">
        <v>86</v>
      </c>
      <c r="I58">
        <v>0</v>
      </c>
      <c r="J58">
        <v>31</v>
      </c>
      <c r="K58">
        <v>1.5</v>
      </c>
      <c r="L58">
        <v>40.299999999999997</v>
      </c>
    </row>
    <row r="59" spans="1:12" x14ac:dyDescent="0.3">
      <c r="A59">
        <v>0</v>
      </c>
      <c r="B59" t="s">
        <v>255</v>
      </c>
      <c r="C59" t="s">
        <v>265</v>
      </c>
      <c r="D59" t="s">
        <v>278</v>
      </c>
      <c r="E59">
        <v>211</v>
      </c>
      <c r="F59" s="28">
        <v>28527</v>
      </c>
      <c r="G59">
        <v>172</v>
      </c>
      <c r="H59">
        <v>86</v>
      </c>
      <c r="I59">
        <v>0</v>
      </c>
      <c r="J59">
        <v>31</v>
      </c>
      <c r="K59">
        <v>1.5</v>
      </c>
      <c r="L59">
        <v>40.299999999999997</v>
      </c>
    </row>
    <row r="60" spans="1:12" x14ac:dyDescent="0.3">
      <c r="A60">
        <v>0</v>
      </c>
      <c r="B60" t="s">
        <v>262</v>
      </c>
      <c r="C60" t="s">
        <v>274</v>
      </c>
      <c r="D60" t="s">
        <v>276</v>
      </c>
      <c r="E60">
        <v>111</v>
      </c>
      <c r="F60" s="28">
        <v>29103</v>
      </c>
      <c r="G60">
        <v>180</v>
      </c>
      <c r="H60" s="141">
        <v>80</v>
      </c>
      <c r="I60">
        <v>0</v>
      </c>
      <c r="J60">
        <v>29</v>
      </c>
      <c r="K60">
        <v>1.3</v>
      </c>
      <c r="L60">
        <v>54</v>
      </c>
    </row>
    <row r="61" spans="1:12" x14ac:dyDescent="0.3">
      <c r="A61">
        <v>1</v>
      </c>
      <c r="B61" t="s">
        <v>629</v>
      </c>
      <c r="C61" t="s">
        <v>269</v>
      </c>
      <c r="D61" t="s">
        <v>278</v>
      </c>
      <c r="E61">
        <v>311</v>
      </c>
      <c r="F61" s="28">
        <v>28197</v>
      </c>
      <c r="G61">
        <v>182</v>
      </c>
      <c r="H61" s="141">
        <v>55</v>
      </c>
      <c r="I61">
        <v>1</v>
      </c>
      <c r="J61">
        <v>36</v>
      </c>
      <c r="K61">
        <v>1.5</v>
      </c>
      <c r="L61">
        <v>61.6</v>
      </c>
    </row>
    <row r="62" spans="1:12" x14ac:dyDescent="0.3">
      <c r="A62">
        <v>1</v>
      </c>
      <c r="B62" t="s">
        <v>260</v>
      </c>
      <c r="C62" t="s">
        <v>272</v>
      </c>
      <c r="D62" t="s">
        <v>278</v>
      </c>
      <c r="E62">
        <v>311</v>
      </c>
      <c r="F62" s="28">
        <v>28197</v>
      </c>
      <c r="G62">
        <v>182</v>
      </c>
      <c r="H62" s="141">
        <v>55</v>
      </c>
      <c r="I62">
        <v>1</v>
      </c>
      <c r="J62">
        <v>36</v>
      </c>
      <c r="K62">
        <v>1.5</v>
      </c>
      <c r="L62">
        <v>61.6</v>
      </c>
    </row>
    <row r="63" spans="1:12" x14ac:dyDescent="0.3">
      <c r="A63">
        <v>0</v>
      </c>
      <c r="B63" t="s">
        <v>648</v>
      </c>
      <c r="C63" t="s">
        <v>650</v>
      </c>
      <c r="D63" t="s">
        <v>276</v>
      </c>
      <c r="E63">
        <v>211</v>
      </c>
      <c r="F63" s="28">
        <v>27496</v>
      </c>
      <c r="G63">
        <v>178</v>
      </c>
      <c r="H63" s="141">
        <v>69</v>
      </c>
      <c r="I63" s="141">
        <v>1</v>
      </c>
      <c r="J63" s="141">
        <v>45</v>
      </c>
      <c r="K63" s="141">
        <v>1.4</v>
      </c>
      <c r="L63" s="141">
        <v>68.2</v>
      </c>
    </row>
    <row r="64" spans="1:12" x14ac:dyDescent="0.3">
      <c r="A64">
        <v>1</v>
      </c>
      <c r="B64" t="s">
        <v>252</v>
      </c>
      <c r="C64" t="s">
        <v>195</v>
      </c>
      <c r="D64" t="s">
        <v>276</v>
      </c>
      <c r="E64">
        <v>111</v>
      </c>
      <c r="F64" s="28">
        <v>26879</v>
      </c>
      <c r="G64">
        <v>185</v>
      </c>
      <c r="H64">
        <v>75</v>
      </c>
      <c r="I64">
        <v>0</v>
      </c>
      <c r="J64">
        <v>36</v>
      </c>
      <c r="K64">
        <v>1.2</v>
      </c>
      <c r="L64">
        <v>43.2</v>
      </c>
    </row>
    <row r="65" spans="1:12" x14ac:dyDescent="0.3">
      <c r="A65">
        <v>0</v>
      </c>
      <c r="B65" t="s">
        <v>647</v>
      </c>
      <c r="C65" t="s">
        <v>267</v>
      </c>
      <c r="D65" t="s">
        <v>278</v>
      </c>
      <c r="E65">
        <v>111</v>
      </c>
      <c r="F65" s="28">
        <v>28614</v>
      </c>
      <c r="G65">
        <v>185</v>
      </c>
      <c r="H65" s="141">
        <v>78</v>
      </c>
      <c r="I65" s="141">
        <v>0</v>
      </c>
      <c r="J65" s="141">
        <v>34</v>
      </c>
      <c r="K65" s="141">
        <v>1.3</v>
      </c>
      <c r="L65" s="141">
        <v>35.4</v>
      </c>
    </row>
    <row r="66" spans="1:12" x14ac:dyDescent="0.3">
      <c r="A66">
        <v>0</v>
      </c>
      <c r="B66" t="s">
        <v>632</v>
      </c>
      <c r="C66" t="s">
        <v>268</v>
      </c>
      <c r="D66" t="s">
        <v>276</v>
      </c>
      <c r="E66">
        <v>111</v>
      </c>
      <c r="F66" s="28">
        <v>29103</v>
      </c>
      <c r="G66">
        <v>180</v>
      </c>
      <c r="H66" s="141">
        <v>80</v>
      </c>
      <c r="I66">
        <v>0</v>
      </c>
      <c r="J66">
        <v>29</v>
      </c>
      <c r="K66">
        <v>1.3</v>
      </c>
      <c r="L66">
        <v>54</v>
      </c>
    </row>
    <row r="67" spans="1:12" x14ac:dyDescent="0.3">
      <c r="A67">
        <v>1</v>
      </c>
      <c r="B67" t="s">
        <v>257</v>
      </c>
      <c r="C67" t="s">
        <v>269</v>
      </c>
      <c r="D67" t="s">
        <v>276</v>
      </c>
      <c r="E67">
        <v>201</v>
      </c>
      <c r="F67" s="28">
        <v>28397</v>
      </c>
      <c r="G67">
        <v>180</v>
      </c>
      <c r="H67" s="141">
        <v>78</v>
      </c>
      <c r="I67">
        <v>0</v>
      </c>
      <c r="J67">
        <v>36</v>
      </c>
      <c r="K67">
        <v>1.6</v>
      </c>
      <c r="L67">
        <v>105</v>
      </c>
    </row>
    <row r="68" spans="1:12" x14ac:dyDescent="0.3">
      <c r="G68">
        <f>AVERAGE(G54:G67)</f>
        <v>175.35714285714286</v>
      </c>
    </row>
    <row r="71" spans="1:12" ht="15" thickBot="1" x14ac:dyDescent="0.35">
      <c r="A71" s="151" t="s">
        <v>243</v>
      </c>
      <c r="B71" s="151" t="s">
        <v>178</v>
      </c>
      <c r="C71" s="151" t="s">
        <v>244</v>
      </c>
      <c r="D71" s="151" t="s">
        <v>245</v>
      </c>
      <c r="E71" s="151" t="s">
        <v>246</v>
      </c>
      <c r="F71" s="151" t="s">
        <v>1</v>
      </c>
      <c r="G71" s="151" t="s">
        <v>247</v>
      </c>
      <c r="H71" s="151" t="s">
        <v>248</v>
      </c>
      <c r="I71" s="151" t="s">
        <v>249</v>
      </c>
      <c r="J71" s="151" t="s">
        <v>250</v>
      </c>
      <c r="K71" s="151" t="s">
        <v>282</v>
      </c>
      <c r="L71" s="151" t="s">
        <v>251</v>
      </c>
    </row>
    <row r="72" spans="1:12" x14ac:dyDescent="0.3">
      <c r="A72">
        <v>1</v>
      </c>
      <c r="B72" t="s">
        <v>254</v>
      </c>
      <c r="C72" t="s">
        <v>266</v>
      </c>
      <c r="D72" t="s">
        <v>279</v>
      </c>
      <c r="E72">
        <v>111</v>
      </c>
      <c r="F72" s="28">
        <v>28564</v>
      </c>
      <c r="G72">
        <v>182</v>
      </c>
      <c r="H72" s="141">
        <v>76</v>
      </c>
      <c r="I72">
        <v>0</v>
      </c>
      <c r="J72">
        <v>22</v>
      </c>
      <c r="K72">
        <v>1.2</v>
      </c>
      <c r="L72">
        <v>72.8</v>
      </c>
    </row>
    <row r="73" spans="1:12" x14ac:dyDescent="0.3">
      <c r="A73">
        <v>1</v>
      </c>
      <c r="B73" t="s">
        <v>646</v>
      </c>
      <c r="C73" t="s">
        <v>550</v>
      </c>
      <c r="D73" t="s">
        <v>279</v>
      </c>
      <c r="E73">
        <v>201</v>
      </c>
      <c r="F73" s="28">
        <v>28743</v>
      </c>
      <c r="G73">
        <v>156</v>
      </c>
      <c r="H73" s="141">
        <v>51</v>
      </c>
      <c r="I73" s="141">
        <v>0</v>
      </c>
      <c r="J73" s="141">
        <v>56</v>
      </c>
      <c r="K73" s="141">
        <v>1.2</v>
      </c>
      <c r="L73" s="141">
        <v>74.2</v>
      </c>
    </row>
    <row r="74" spans="1:12" x14ac:dyDescent="0.3">
      <c r="A74">
        <v>1</v>
      </c>
      <c r="B74" t="s">
        <v>649</v>
      </c>
      <c r="C74" t="s">
        <v>651</v>
      </c>
      <c r="D74" t="s">
        <v>281</v>
      </c>
      <c r="E74">
        <v>101</v>
      </c>
      <c r="F74" s="28">
        <v>28271</v>
      </c>
      <c r="G74">
        <v>152</v>
      </c>
      <c r="H74" s="141">
        <v>65</v>
      </c>
      <c r="I74" s="141">
        <v>1</v>
      </c>
      <c r="J74" s="141">
        <v>29</v>
      </c>
      <c r="K74" s="141">
        <v>1.2</v>
      </c>
      <c r="L74" s="141">
        <v>41.9</v>
      </c>
    </row>
    <row r="75" spans="1:12" x14ac:dyDescent="0.3">
      <c r="A75">
        <v>1</v>
      </c>
      <c r="B75" t="s">
        <v>627</v>
      </c>
      <c r="C75" t="s">
        <v>628</v>
      </c>
      <c r="D75" t="s">
        <v>622</v>
      </c>
      <c r="E75">
        <v>101</v>
      </c>
      <c r="F75" s="28">
        <v>27895</v>
      </c>
      <c r="G75">
        <v>178</v>
      </c>
      <c r="H75" s="141">
        <v>72</v>
      </c>
      <c r="I75" s="141">
        <v>1</v>
      </c>
      <c r="J75" s="141">
        <v>30</v>
      </c>
      <c r="K75" s="141">
        <v>1.5</v>
      </c>
      <c r="L75" s="141">
        <v>70.400000000000006</v>
      </c>
    </row>
    <row r="76" spans="1:12" x14ac:dyDescent="0.3">
      <c r="G76">
        <f>AVERAGE(G72:G75)</f>
        <v>167</v>
      </c>
    </row>
    <row r="78" spans="1:12" ht="15" thickBot="1" x14ac:dyDescent="0.35">
      <c r="A78" s="151" t="s">
        <v>243</v>
      </c>
      <c r="B78" s="151" t="s">
        <v>178</v>
      </c>
      <c r="C78" s="151" t="s">
        <v>244</v>
      </c>
      <c r="D78" s="151" t="s">
        <v>245</v>
      </c>
      <c r="E78" s="151" t="s">
        <v>246</v>
      </c>
      <c r="F78" s="151" t="s">
        <v>1</v>
      </c>
      <c r="G78" s="151" t="s">
        <v>247</v>
      </c>
      <c r="H78" s="151" t="s">
        <v>248</v>
      </c>
      <c r="I78" s="151" t="s">
        <v>249</v>
      </c>
      <c r="J78" s="151" t="s">
        <v>250</v>
      </c>
      <c r="K78" s="151" t="s">
        <v>282</v>
      </c>
      <c r="L78" s="151" t="s">
        <v>251</v>
      </c>
    </row>
    <row r="79" spans="1:12" x14ac:dyDescent="0.3">
      <c r="A79">
        <v>1</v>
      </c>
      <c r="B79" t="s">
        <v>631</v>
      </c>
      <c r="C79" t="s">
        <v>639</v>
      </c>
      <c r="D79" t="s">
        <v>276</v>
      </c>
      <c r="E79">
        <v>201</v>
      </c>
      <c r="F79" s="28">
        <v>28397</v>
      </c>
      <c r="G79">
        <v>180</v>
      </c>
      <c r="H79" s="141">
        <v>78</v>
      </c>
      <c r="I79">
        <v>0</v>
      </c>
      <c r="J79">
        <v>36</v>
      </c>
      <c r="K79">
        <v>1.6</v>
      </c>
      <c r="L79">
        <v>105</v>
      </c>
    </row>
    <row r="80" spans="1:12" x14ac:dyDescent="0.3">
      <c r="A80">
        <v>1</v>
      </c>
      <c r="B80" t="s">
        <v>645</v>
      </c>
      <c r="C80" t="s">
        <v>266</v>
      </c>
      <c r="D80" t="s">
        <v>278</v>
      </c>
      <c r="E80">
        <v>101</v>
      </c>
      <c r="F80" s="28">
        <v>28403</v>
      </c>
      <c r="G80">
        <v>154</v>
      </c>
      <c r="H80" s="141">
        <v>56</v>
      </c>
      <c r="I80" s="141">
        <v>0</v>
      </c>
      <c r="J80" s="141">
        <v>34</v>
      </c>
      <c r="K80" s="141">
        <v>1.1000000000000001</v>
      </c>
      <c r="L80" s="141">
        <v>54.6</v>
      </c>
    </row>
    <row r="81" spans="1:12" x14ac:dyDescent="0.3">
      <c r="A81">
        <v>1</v>
      </c>
      <c r="B81" t="s">
        <v>629</v>
      </c>
      <c r="C81" t="s">
        <v>269</v>
      </c>
      <c r="D81" t="s">
        <v>278</v>
      </c>
      <c r="E81">
        <v>311</v>
      </c>
      <c r="F81" s="28">
        <v>28197</v>
      </c>
      <c r="G81">
        <v>182</v>
      </c>
      <c r="H81" s="141">
        <v>55</v>
      </c>
      <c r="I81">
        <v>1</v>
      </c>
      <c r="J81">
        <v>36</v>
      </c>
      <c r="K81">
        <v>1.5</v>
      </c>
      <c r="L81">
        <v>61.6</v>
      </c>
    </row>
    <row r="82" spans="1:12" x14ac:dyDescent="0.3">
      <c r="A82">
        <v>1</v>
      </c>
      <c r="B82" t="s">
        <v>260</v>
      </c>
      <c r="C82" t="s">
        <v>272</v>
      </c>
      <c r="D82" t="s">
        <v>278</v>
      </c>
      <c r="E82">
        <v>311</v>
      </c>
      <c r="F82" s="28">
        <v>28197</v>
      </c>
      <c r="G82">
        <v>182</v>
      </c>
      <c r="H82" s="141">
        <v>55</v>
      </c>
      <c r="I82">
        <v>1</v>
      </c>
      <c r="J82">
        <v>36</v>
      </c>
      <c r="K82">
        <v>1.5</v>
      </c>
      <c r="L82">
        <v>61.6</v>
      </c>
    </row>
    <row r="83" spans="1:12" x14ac:dyDescent="0.3">
      <c r="A83">
        <v>1</v>
      </c>
      <c r="B83" t="s">
        <v>252</v>
      </c>
      <c r="C83" t="s">
        <v>195</v>
      </c>
      <c r="D83" t="s">
        <v>276</v>
      </c>
      <c r="E83">
        <v>111</v>
      </c>
      <c r="F83" s="28">
        <v>26879</v>
      </c>
      <c r="G83">
        <v>185</v>
      </c>
      <c r="H83">
        <v>75</v>
      </c>
      <c r="I83">
        <v>0</v>
      </c>
      <c r="J83">
        <v>36</v>
      </c>
      <c r="K83">
        <v>1.2</v>
      </c>
      <c r="L83">
        <v>43.2</v>
      </c>
    </row>
    <row r="84" spans="1:12" x14ac:dyDescent="0.3">
      <c r="A84">
        <v>1</v>
      </c>
      <c r="B84" t="s">
        <v>257</v>
      </c>
      <c r="C84" t="s">
        <v>269</v>
      </c>
      <c r="D84" t="s">
        <v>276</v>
      </c>
      <c r="E84">
        <v>201</v>
      </c>
      <c r="F84" s="28">
        <v>28397</v>
      </c>
      <c r="G84">
        <v>180</v>
      </c>
      <c r="H84" s="141">
        <v>78</v>
      </c>
      <c r="I84">
        <v>0</v>
      </c>
      <c r="J84">
        <v>36</v>
      </c>
      <c r="K84">
        <v>1.6</v>
      </c>
      <c r="L84">
        <v>105</v>
      </c>
    </row>
    <row r="85" spans="1:12" x14ac:dyDescent="0.3">
      <c r="G85">
        <f>AVERAGE(G79:G84)</f>
        <v>177.16666666666666</v>
      </c>
    </row>
    <row r="87" spans="1:12" ht="15" thickBot="1" x14ac:dyDescent="0.35">
      <c r="A87" s="151" t="s">
        <v>243</v>
      </c>
      <c r="B87" s="151" t="s">
        <v>178</v>
      </c>
      <c r="C87" s="151" t="s">
        <v>244</v>
      </c>
      <c r="D87" s="151" t="s">
        <v>245</v>
      </c>
      <c r="E87" s="151" t="s">
        <v>246</v>
      </c>
      <c r="F87" s="151" t="s">
        <v>1</v>
      </c>
      <c r="G87" s="151" t="s">
        <v>247</v>
      </c>
      <c r="H87" s="151" t="s">
        <v>248</v>
      </c>
      <c r="I87" s="151" t="s">
        <v>249</v>
      </c>
      <c r="J87" s="151" t="s">
        <v>250</v>
      </c>
      <c r="K87" s="151" t="s">
        <v>282</v>
      </c>
      <c r="L87" s="151" t="s">
        <v>251</v>
      </c>
    </row>
    <row r="88" spans="1:12" x14ac:dyDescent="0.3">
      <c r="A88">
        <v>0</v>
      </c>
      <c r="B88" t="s">
        <v>253</v>
      </c>
      <c r="C88" t="s">
        <v>264</v>
      </c>
      <c r="D88" t="s">
        <v>277</v>
      </c>
      <c r="E88">
        <v>201</v>
      </c>
      <c r="F88" s="28">
        <v>26912</v>
      </c>
      <c r="G88">
        <v>180</v>
      </c>
      <c r="H88" s="141">
        <v>78</v>
      </c>
      <c r="I88">
        <v>1</v>
      </c>
      <c r="J88">
        <v>45</v>
      </c>
      <c r="K88">
        <v>1.4</v>
      </c>
      <c r="L88">
        <v>67.5</v>
      </c>
    </row>
    <row r="89" spans="1:12" x14ac:dyDescent="0.3">
      <c r="A89">
        <v>0</v>
      </c>
      <c r="B89" t="s">
        <v>256</v>
      </c>
      <c r="C89" t="s">
        <v>268</v>
      </c>
      <c r="D89" t="s">
        <v>281</v>
      </c>
      <c r="E89">
        <v>311</v>
      </c>
      <c r="F89" s="28">
        <v>28697</v>
      </c>
      <c r="G89">
        <v>182</v>
      </c>
      <c r="H89" s="141">
        <v>54</v>
      </c>
      <c r="I89">
        <v>1</v>
      </c>
      <c r="J89">
        <v>64</v>
      </c>
      <c r="K89">
        <v>1.1000000000000001</v>
      </c>
      <c r="L89">
        <v>83.2</v>
      </c>
    </row>
    <row r="90" spans="1:12" x14ac:dyDescent="0.3">
      <c r="A90">
        <v>0</v>
      </c>
      <c r="B90" t="s">
        <v>258</v>
      </c>
      <c r="C90" t="s">
        <v>270</v>
      </c>
      <c r="D90" t="s">
        <v>277</v>
      </c>
      <c r="E90">
        <v>211</v>
      </c>
      <c r="F90" s="28">
        <v>28622</v>
      </c>
      <c r="G90">
        <v>176</v>
      </c>
      <c r="H90" s="141">
        <v>68</v>
      </c>
      <c r="I90">
        <v>0</v>
      </c>
      <c r="J90">
        <v>75</v>
      </c>
      <c r="K90">
        <v>1.3</v>
      </c>
      <c r="L90">
        <v>79.2</v>
      </c>
    </row>
    <row r="91" spans="1:12" x14ac:dyDescent="0.3">
      <c r="A91">
        <v>0</v>
      </c>
      <c r="B91" t="s">
        <v>261</v>
      </c>
      <c r="C91" t="s">
        <v>273</v>
      </c>
      <c r="D91" t="s">
        <v>277</v>
      </c>
      <c r="E91">
        <v>111</v>
      </c>
      <c r="F91" s="28">
        <v>28624</v>
      </c>
      <c r="G91">
        <v>185</v>
      </c>
      <c r="H91" s="141">
        <v>76</v>
      </c>
      <c r="I91">
        <v>1</v>
      </c>
      <c r="J91">
        <v>44</v>
      </c>
      <c r="K91">
        <v>1.5</v>
      </c>
      <c r="L91">
        <v>46.4</v>
      </c>
    </row>
    <row r="92" spans="1:12" x14ac:dyDescent="0.3">
      <c r="A92">
        <v>0</v>
      </c>
      <c r="B92" t="s">
        <v>626</v>
      </c>
      <c r="C92" t="s">
        <v>416</v>
      </c>
      <c r="D92" t="s">
        <v>281</v>
      </c>
      <c r="E92">
        <v>311</v>
      </c>
      <c r="F92" s="28">
        <v>28697</v>
      </c>
      <c r="G92">
        <v>182</v>
      </c>
      <c r="H92" s="141">
        <v>54</v>
      </c>
      <c r="I92">
        <v>1</v>
      </c>
      <c r="J92">
        <v>64</v>
      </c>
      <c r="K92">
        <v>1.1000000000000001</v>
      </c>
      <c r="L92">
        <v>83.2</v>
      </c>
    </row>
    <row r="93" spans="1:12" x14ac:dyDescent="0.3">
      <c r="A93">
        <v>0</v>
      </c>
      <c r="B93" t="s">
        <v>259</v>
      </c>
      <c r="C93" t="s">
        <v>271</v>
      </c>
      <c r="D93" t="s">
        <v>279</v>
      </c>
      <c r="E93">
        <v>211</v>
      </c>
      <c r="F93" s="28">
        <v>28725</v>
      </c>
      <c r="G93">
        <v>174</v>
      </c>
      <c r="H93">
        <v>56</v>
      </c>
      <c r="I93">
        <v>0</v>
      </c>
      <c r="J93">
        <v>66</v>
      </c>
      <c r="K93">
        <v>1.4</v>
      </c>
      <c r="L93">
        <v>46.9</v>
      </c>
    </row>
    <row r="94" spans="1:12" x14ac:dyDescent="0.3">
      <c r="A94">
        <v>0</v>
      </c>
      <c r="B94" t="s">
        <v>633</v>
      </c>
      <c r="C94" t="s">
        <v>640</v>
      </c>
      <c r="D94" t="s">
        <v>277</v>
      </c>
      <c r="E94">
        <v>101</v>
      </c>
      <c r="F94" s="28">
        <v>28160</v>
      </c>
      <c r="G94">
        <v>179</v>
      </c>
      <c r="H94" s="141">
        <v>78</v>
      </c>
      <c r="I94">
        <v>1</v>
      </c>
      <c r="J94">
        <v>36</v>
      </c>
      <c r="K94">
        <v>1.4</v>
      </c>
      <c r="L94">
        <v>54.2</v>
      </c>
    </row>
    <row r="95" spans="1:12" x14ac:dyDescent="0.3">
      <c r="A95">
        <v>0</v>
      </c>
      <c r="B95" t="s">
        <v>630</v>
      </c>
      <c r="C95" t="s">
        <v>638</v>
      </c>
      <c r="D95" t="s">
        <v>277</v>
      </c>
      <c r="E95">
        <v>201</v>
      </c>
      <c r="F95" s="28">
        <v>26912</v>
      </c>
      <c r="G95">
        <v>180</v>
      </c>
      <c r="H95" s="141">
        <v>78</v>
      </c>
      <c r="I95">
        <v>1</v>
      </c>
      <c r="J95">
        <v>45</v>
      </c>
      <c r="K95">
        <v>1.4</v>
      </c>
      <c r="L95">
        <v>67.5</v>
      </c>
    </row>
    <row r="96" spans="1:12" x14ac:dyDescent="0.3">
      <c r="A96">
        <v>0</v>
      </c>
      <c r="B96" t="s">
        <v>636</v>
      </c>
      <c r="C96" t="s">
        <v>643</v>
      </c>
      <c r="D96" t="s">
        <v>279</v>
      </c>
      <c r="E96">
        <v>211</v>
      </c>
      <c r="F96" s="28">
        <v>28725</v>
      </c>
      <c r="G96">
        <v>170</v>
      </c>
      <c r="H96">
        <v>56</v>
      </c>
      <c r="I96">
        <v>0</v>
      </c>
      <c r="J96">
        <v>66</v>
      </c>
      <c r="K96">
        <v>1.4</v>
      </c>
      <c r="L96">
        <v>46.9</v>
      </c>
    </row>
    <row r="97" spans="1:12" x14ac:dyDescent="0.3">
      <c r="A97">
        <v>0</v>
      </c>
      <c r="B97" t="s">
        <v>634</v>
      </c>
      <c r="C97" t="s">
        <v>641</v>
      </c>
      <c r="D97" t="s">
        <v>277</v>
      </c>
      <c r="E97">
        <v>211</v>
      </c>
      <c r="F97" s="28">
        <v>28622</v>
      </c>
      <c r="G97">
        <v>175</v>
      </c>
      <c r="H97" s="141">
        <v>68</v>
      </c>
      <c r="I97">
        <v>0</v>
      </c>
      <c r="J97">
        <v>75</v>
      </c>
      <c r="K97">
        <v>1.3</v>
      </c>
      <c r="L97">
        <v>79.2</v>
      </c>
    </row>
    <row r="98" spans="1:12" x14ac:dyDescent="0.3">
      <c r="A98">
        <v>0</v>
      </c>
      <c r="B98" t="s">
        <v>263</v>
      </c>
      <c r="C98" t="s">
        <v>275</v>
      </c>
      <c r="D98" t="s">
        <v>277</v>
      </c>
      <c r="E98">
        <v>101</v>
      </c>
      <c r="F98" s="28">
        <v>28160</v>
      </c>
      <c r="G98">
        <v>179</v>
      </c>
      <c r="H98" s="141">
        <v>78</v>
      </c>
      <c r="I98">
        <v>1</v>
      </c>
      <c r="J98">
        <v>36</v>
      </c>
      <c r="K98">
        <v>1.4</v>
      </c>
      <c r="L98">
        <v>54.2</v>
      </c>
    </row>
    <row r="99" spans="1:12" x14ac:dyDescent="0.3">
      <c r="G99">
        <f>AVERAGE(G88:G98)</f>
        <v>178.36363636363637</v>
      </c>
    </row>
    <row r="101" spans="1:12" ht="15" thickBot="1" x14ac:dyDescent="0.35">
      <c r="A101" s="151" t="s">
        <v>243</v>
      </c>
      <c r="B101" s="151" t="s">
        <v>178</v>
      </c>
      <c r="C101" s="151" t="s">
        <v>244</v>
      </c>
      <c r="D101" s="151" t="s">
        <v>245</v>
      </c>
      <c r="E101" s="151" t="s">
        <v>246</v>
      </c>
      <c r="F101" s="151" t="s">
        <v>1</v>
      </c>
      <c r="G101" s="151" t="s">
        <v>247</v>
      </c>
      <c r="H101" s="151" t="s">
        <v>248</v>
      </c>
      <c r="I101" s="151" t="s">
        <v>249</v>
      </c>
      <c r="J101" s="151" t="s">
        <v>250</v>
      </c>
      <c r="K101" s="151" t="s">
        <v>282</v>
      </c>
      <c r="L101" s="151" t="s">
        <v>251</v>
      </c>
    </row>
    <row r="102" spans="1:12" x14ac:dyDescent="0.3">
      <c r="A102">
        <v>0</v>
      </c>
      <c r="B102" t="s">
        <v>186</v>
      </c>
      <c r="C102" t="s">
        <v>267</v>
      </c>
      <c r="D102" t="s">
        <v>280</v>
      </c>
      <c r="E102">
        <v>111</v>
      </c>
      <c r="F102" s="28">
        <v>28382</v>
      </c>
      <c r="G102">
        <v>164</v>
      </c>
      <c r="H102">
        <v>65</v>
      </c>
      <c r="I102">
        <v>1</v>
      </c>
      <c r="J102">
        <v>52</v>
      </c>
      <c r="K102">
        <v>1.4</v>
      </c>
      <c r="L102">
        <v>73.7</v>
      </c>
    </row>
    <row r="103" spans="1:12" x14ac:dyDescent="0.3">
      <c r="A103">
        <v>0</v>
      </c>
      <c r="B103" t="s">
        <v>637</v>
      </c>
      <c r="C103" t="s">
        <v>644</v>
      </c>
      <c r="D103" t="s">
        <v>280</v>
      </c>
      <c r="E103">
        <v>111</v>
      </c>
      <c r="F103" s="28">
        <v>28382</v>
      </c>
      <c r="G103">
        <v>165</v>
      </c>
      <c r="H103">
        <v>65</v>
      </c>
      <c r="I103">
        <v>1</v>
      </c>
      <c r="J103">
        <v>52</v>
      </c>
      <c r="K103">
        <v>1.4</v>
      </c>
      <c r="L103">
        <v>73.7</v>
      </c>
    </row>
    <row r="104" spans="1:12" x14ac:dyDescent="0.3">
      <c r="A104">
        <v>0</v>
      </c>
      <c r="B104" t="s">
        <v>635</v>
      </c>
      <c r="C104" t="s">
        <v>642</v>
      </c>
      <c r="D104" t="s">
        <v>278</v>
      </c>
      <c r="E104">
        <v>211</v>
      </c>
      <c r="F104" s="28">
        <v>28527</v>
      </c>
      <c r="G104">
        <v>168</v>
      </c>
      <c r="H104">
        <v>86</v>
      </c>
      <c r="I104">
        <v>0</v>
      </c>
      <c r="J104">
        <v>31</v>
      </c>
      <c r="K104">
        <v>1.5</v>
      </c>
      <c r="L104">
        <v>40.299999999999997</v>
      </c>
    </row>
    <row r="105" spans="1:12" x14ac:dyDescent="0.3">
      <c r="A105">
        <v>0</v>
      </c>
      <c r="B105" t="s">
        <v>255</v>
      </c>
      <c r="C105" t="s">
        <v>265</v>
      </c>
      <c r="D105" t="s">
        <v>278</v>
      </c>
      <c r="E105">
        <v>211</v>
      </c>
      <c r="F105" s="28">
        <v>28527</v>
      </c>
      <c r="G105">
        <v>172</v>
      </c>
      <c r="H105">
        <v>86</v>
      </c>
      <c r="I105">
        <v>0</v>
      </c>
      <c r="J105">
        <v>31</v>
      </c>
      <c r="K105">
        <v>1.5</v>
      </c>
      <c r="L105">
        <v>40.299999999999997</v>
      </c>
    </row>
    <row r="106" spans="1:12" x14ac:dyDescent="0.3">
      <c r="A106">
        <v>0</v>
      </c>
      <c r="B106" t="s">
        <v>262</v>
      </c>
      <c r="C106" t="s">
        <v>274</v>
      </c>
      <c r="D106" t="s">
        <v>276</v>
      </c>
      <c r="E106">
        <v>111</v>
      </c>
      <c r="F106" s="28">
        <v>29103</v>
      </c>
      <c r="G106">
        <v>180</v>
      </c>
      <c r="H106" s="141">
        <v>80</v>
      </c>
      <c r="I106">
        <v>0</v>
      </c>
      <c r="J106">
        <v>29</v>
      </c>
      <c r="K106">
        <v>1.3</v>
      </c>
      <c r="L106">
        <v>54</v>
      </c>
    </row>
    <row r="107" spans="1:12" x14ac:dyDescent="0.3">
      <c r="A107">
        <v>0</v>
      </c>
      <c r="B107" t="s">
        <v>648</v>
      </c>
      <c r="C107" t="s">
        <v>650</v>
      </c>
      <c r="D107" t="s">
        <v>276</v>
      </c>
      <c r="E107">
        <v>211</v>
      </c>
      <c r="F107" s="28">
        <v>27496</v>
      </c>
      <c r="G107">
        <v>178</v>
      </c>
      <c r="H107" s="141">
        <v>69</v>
      </c>
      <c r="I107" s="141">
        <v>1</v>
      </c>
      <c r="J107" s="141">
        <v>45</v>
      </c>
      <c r="K107" s="141">
        <v>1.4</v>
      </c>
      <c r="L107" s="141">
        <v>68.2</v>
      </c>
    </row>
    <row r="108" spans="1:12" x14ac:dyDescent="0.3">
      <c r="A108">
        <v>0</v>
      </c>
      <c r="B108" t="s">
        <v>647</v>
      </c>
      <c r="C108" t="s">
        <v>267</v>
      </c>
      <c r="D108" t="s">
        <v>278</v>
      </c>
      <c r="E108">
        <v>111</v>
      </c>
      <c r="F108" s="28">
        <v>28614</v>
      </c>
      <c r="G108">
        <v>185</v>
      </c>
      <c r="H108" s="141">
        <v>78</v>
      </c>
      <c r="I108" s="141">
        <v>0</v>
      </c>
      <c r="J108" s="141">
        <v>34</v>
      </c>
      <c r="K108" s="141">
        <v>1.3</v>
      </c>
      <c r="L108" s="141">
        <v>35.4</v>
      </c>
    </row>
    <row r="109" spans="1:12" x14ac:dyDescent="0.3">
      <c r="A109">
        <v>0</v>
      </c>
      <c r="B109" t="s">
        <v>632</v>
      </c>
      <c r="C109" t="s">
        <v>268</v>
      </c>
      <c r="D109" t="s">
        <v>276</v>
      </c>
      <c r="E109">
        <v>111</v>
      </c>
      <c r="F109" s="28">
        <v>29103</v>
      </c>
      <c r="G109">
        <v>180</v>
      </c>
      <c r="H109" s="141">
        <v>80</v>
      </c>
      <c r="I109">
        <v>0</v>
      </c>
      <c r="J109">
        <v>29</v>
      </c>
      <c r="K109">
        <v>1.3</v>
      </c>
      <c r="L109">
        <v>54</v>
      </c>
    </row>
    <row r="110" spans="1:12" x14ac:dyDescent="0.3">
      <c r="G110">
        <f>AVERAGE(G102:G109)</f>
        <v>174</v>
      </c>
    </row>
  </sheetData>
  <dataValidations count="3">
    <dataValidation type="whole" allowBlank="1" showInputMessage="1" showErrorMessage="1" sqref="H3:H31">
      <formula1>50</formula1>
      <formula2>100</formula2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3:G31">
      <formula1>150</formula1>
      <formula2>190</formula2>
    </dataValidation>
    <dataValidation type="list" allowBlank="1" showInputMessage="1" showErrorMessage="1" sqref="E3:E31">
      <formula1>"101,111,201,211,311"</formula1>
    </dataValidation>
  </dataValidations>
  <hyperlinks>
    <hyperlink ref="N2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rgb="FFFF6600"/>
  </sheetPr>
  <dimension ref="A1:H8"/>
  <sheetViews>
    <sheetView workbookViewId="0">
      <selection activeCell="H1" sqref="H1"/>
    </sheetView>
  </sheetViews>
  <sheetFormatPr defaultRowHeight="14.4" x14ac:dyDescent="0.3"/>
  <cols>
    <col min="1" max="1" width="15.6640625" customWidth="1"/>
    <col min="2" max="2" width="17.5546875" customWidth="1"/>
    <col min="3" max="3" width="14.6640625" customWidth="1"/>
    <col min="4" max="4" width="22" hidden="1" customWidth="1"/>
    <col min="5" max="5" width="21.109375" hidden="1" customWidth="1"/>
    <col min="6" max="17" width="4" customWidth="1"/>
    <col min="18" max="18" width="14.44140625" bestFit="1" customWidth="1"/>
  </cols>
  <sheetData>
    <row r="1" spans="1:8" x14ac:dyDescent="0.3">
      <c r="A1" s="60" t="s">
        <v>243</v>
      </c>
      <c r="B1" t="s">
        <v>304</v>
      </c>
      <c r="H1" s="182" t="s">
        <v>1148</v>
      </c>
    </row>
    <row r="3" spans="1:8" x14ac:dyDescent="0.3">
      <c r="B3" s="60" t="s">
        <v>301</v>
      </c>
    </row>
    <row r="4" spans="1:8" x14ac:dyDescent="0.3">
      <c r="B4" t="s">
        <v>247</v>
      </c>
      <c r="D4" t="s">
        <v>670</v>
      </c>
      <c r="E4" t="s">
        <v>672</v>
      </c>
    </row>
    <row r="5" spans="1:8" x14ac:dyDescent="0.3">
      <c r="A5" s="60" t="s">
        <v>303</v>
      </c>
      <c r="B5" t="s">
        <v>671</v>
      </c>
      <c r="C5" t="s">
        <v>673</v>
      </c>
    </row>
    <row r="6" spans="1:8" x14ac:dyDescent="0.3">
      <c r="A6" s="61" t="s">
        <v>684</v>
      </c>
      <c r="B6" s="56">
        <v>175.35714285714286</v>
      </c>
      <c r="C6" s="152">
        <v>71.857142857142861</v>
      </c>
      <c r="D6" s="56">
        <v>175.35714285714286</v>
      </c>
      <c r="E6" s="152">
        <v>71.857142857142861</v>
      </c>
    </row>
    <row r="7" spans="1:8" x14ac:dyDescent="0.3">
      <c r="A7" s="61" t="s">
        <v>306</v>
      </c>
      <c r="B7" s="56">
        <v>175.33333333333334</v>
      </c>
      <c r="C7" s="152">
        <v>67.2</v>
      </c>
      <c r="D7" s="56">
        <v>175.33333333333334</v>
      </c>
      <c r="E7" s="152">
        <v>67.2</v>
      </c>
    </row>
    <row r="8" spans="1:8" x14ac:dyDescent="0.3">
      <c r="A8" s="61" t="s">
        <v>302</v>
      </c>
      <c r="B8" s="56">
        <v>175.34482758620689</v>
      </c>
      <c r="C8" s="152">
        <v>69.448275862068968</v>
      </c>
      <c r="D8" s="56">
        <v>175.34482758620689</v>
      </c>
      <c r="E8" s="152">
        <v>69.448275862068968</v>
      </c>
    </row>
  </sheetData>
  <hyperlinks>
    <hyperlink ref="H1" location="Obsah!A1" display="Obsah"/>
  </hyperlinks>
  <pageMargins left="0.7" right="0.7" top="0.78740157499999996" bottom="0.78740157499999996" header="0.3" footer="0.3"/>
  <pageSetup paperSize="9" orientation="portrait"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rgb="FFFF6600"/>
  </sheetPr>
  <dimension ref="A1:E8"/>
  <sheetViews>
    <sheetView workbookViewId="0"/>
  </sheetViews>
  <sheetFormatPr defaultRowHeight="14.4" x14ac:dyDescent="0.3"/>
  <cols>
    <col min="1" max="1" width="15.6640625" customWidth="1"/>
    <col min="2" max="2" width="17.5546875" customWidth="1"/>
    <col min="3" max="3" width="13.88671875" customWidth="1"/>
    <col min="4" max="4" width="22" bestFit="1" customWidth="1"/>
    <col min="5" max="5" width="21.109375" bestFit="1" customWidth="1"/>
  </cols>
  <sheetData>
    <row r="1" spans="1:5" x14ac:dyDescent="0.3">
      <c r="A1" s="60" t="s">
        <v>243</v>
      </c>
      <c r="B1" t="s">
        <v>304</v>
      </c>
      <c r="E1" s="182" t="s">
        <v>1148</v>
      </c>
    </row>
    <row r="3" spans="1:5" x14ac:dyDescent="0.3">
      <c r="B3" s="60" t="s">
        <v>301</v>
      </c>
    </row>
    <row r="4" spans="1:5" x14ac:dyDescent="0.3">
      <c r="B4" t="s">
        <v>687</v>
      </c>
    </row>
    <row r="5" spans="1:5" x14ac:dyDescent="0.3">
      <c r="A5" s="60" t="s">
        <v>303</v>
      </c>
      <c r="B5" t="s">
        <v>688</v>
      </c>
      <c r="C5" t="s">
        <v>683</v>
      </c>
    </row>
    <row r="6" spans="1:5" x14ac:dyDescent="0.3">
      <c r="A6" s="61" t="s">
        <v>668</v>
      </c>
      <c r="B6" s="56">
        <v>175.35714285714286</v>
      </c>
      <c r="C6" s="56">
        <v>71.857142857142861</v>
      </c>
    </row>
    <row r="7" spans="1:5" x14ac:dyDescent="0.3">
      <c r="A7" s="61" t="s">
        <v>306</v>
      </c>
      <c r="B7" s="56">
        <v>175.33333333333334</v>
      </c>
      <c r="C7" s="56">
        <v>67.2</v>
      </c>
    </row>
    <row r="8" spans="1:5" x14ac:dyDescent="0.3">
      <c r="A8" s="61" t="s">
        <v>302</v>
      </c>
      <c r="B8" s="56">
        <v>175.34482758620689</v>
      </c>
      <c r="C8" s="56">
        <v>69.448275862068968</v>
      </c>
    </row>
  </sheetData>
  <hyperlinks>
    <hyperlink ref="E1" location="Obsah!A1" display="Obsah"/>
  </hyperlinks>
  <pageMargins left="0.7" right="0.7" top="0.78740157499999996" bottom="0.78740157499999996" header="0.3" footer="0.3"/>
  <pageSetup paperSize="9" orientation="portrait"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rgb="FF92D050"/>
  </sheetPr>
  <dimension ref="A1:M19"/>
  <sheetViews>
    <sheetView workbookViewId="0">
      <selection activeCell="M1" sqref="M1"/>
    </sheetView>
  </sheetViews>
  <sheetFormatPr defaultRowHeight="14.4" x14ac:dyDescent="0.3"/>
  <cols>
    <col min="1" max="1" width="22.109375" customWidth="1"/>
    <col min="8" max="8" width="17" customWidth="1"/>
    <col min="9" max="9" width="12.44140625" customWidth="1"/>
    <col min="10" max="10" width="14" customWidth="1"/>
    <col min="11" max="11" width="18.6640625" customWidth="1"/>
  </cols>
  <sheetData>
    <row r="1" spans="1:13" ht="29.4" thickBot="1" x14ac:dyDescent="0.35">
      <c r="A1" s="226" t="s">
        <v>1156</v>
      </c>
      <c r="B1" s="226" t="s">
        <v>1151</v>
      </c>
      <c r="C1" s="227" t="s">
        <v>1152</v>
      </c>
      <c r="D1" s="226" t="s">
        <v>1153</v>
      </c>
      <c r="E1" s="226" t="s">
        <v>1154</v>
      </c>
      <c r="F1" s="226" t="s">
        <v>1155</v>
      </c>
      <c r="H1" s="228" t="s">
        <v>1156</v>
      </c>
      <c r="I1" s="232" t="s">
        <v>1165</v>
      </c>
      <c r="J1" s="233" t="s">
        <v>1166</v>
      </c>
      <c r="M1" s="182" t="s">
        <v>1148</v>
      </c>
    </row>
    <row r="2" spans="1:13" x14ac:dyDescent="0.3">
      <c r="A2" s="109" t="s">
        <v>252</v>
      </c>
      <c r="B2" s="56">
        <v>53.636699999999998</v>
      </c>
      <c r="C2" s="56">
        <v>36.464999999999996</v>
      </c>
      <c r="D2" s="56">
        <v>55.360500000000002</v>
      </c>
      <c r="E2" s="56">
        <v>63.824799999999996</v>
      </c>
      <c r="F2" s="56">
        <v>68.311099999999996</v>
      </c>
      <c r="H2" s="234" t="s">
        <v>1151</v>
      </c>
      <c r="I2" s="235">
        <v>75.537800000000004</v>
      </c>
      <c r="J2" s="236">
        <v>75.537800000000004</v>
      </c>
    </row>
    <row r="3" spans="1:13" x14ac:dyDescent="0.3">
      <c r="A3" s="18" t="s">
        <v>1160</v>
      </c>
      <c r="B3" s="20">
        <v>75.537800000000004</v>
      </c>
      <c r="C3" s="20">
        <v>62.542999999999999</v>
      </c>
      <c r="D3" s="20">
        <v>73.1952</v>
      </c>
      <c r="E3" s="20">
        <v>40.332499999999996</v>
      </c>
      <c r="F3" s="20">
        <v>56.752800000000001</v>
      </c>
      <c r="H3" s="237" t="s">
        <v>1168</v>
      </c>
      <c r="I3" s="238">
        <v>62.542999999999999</v>
      </c>
      <c r="J3" s="239">
        <v>62.542999999999999</v>
      </c>
    </row>
    <row r="4" spans="1:13" ht="17.25" customHeight="1" x14ac:dyDescent="0.3">
      <c r="A4" s="18" t="s">
        <v>1161</v>
      </c>
      <c r="B4" s="20">
        <v>38.343500000000006</v>
      </c>
      <c r="C4" s="20">
        <v>40.8187</v>
      </c>
      <c r="D4" s="20">
        <v>37.348999999999997</v>
      </c>
      <c r="E4" s="20">
        <v>41.326999999999998</v>
      </c>
      <c r="F4" s="20">
        <v>63.360700000000001</v>
      </c>
      <c r="H4" s="240" t="s">
        <v>1153</v>
      </c>
      <c r="I4" s="238">
        <v>73.1952</v>
      </c>
      <c r="J4" s="239">
        <v>73.1952</v>
      </c>
    </row>
    <row r="5" spans="1:13" x14ac:dyDescent="0.3">
      <c r="A5" s="18" t="s">
        <v>1162</v>
      </c>
      <c r="B5" s="20">
        <v>68.399500000000003</v>
      </c>
      <c r="C5" s="20">
        <v>58.056699999999999</v>
      </c>
      <c r="D5" s="20">
        <v>52.575899999999997</v>
      </c>
      <c r="E5" s="20">
        <v>44.553600000000003</v>
      </c>
      <c r="F5" s="20">
        <v>56.553899999999999</v>
      </c>
      <c r="H5" s="240" t="s">
        <v>1154</v>
      </c>
      <c r="I5" s="238">
        <v>40.332499999999996</v>
      </c>
      <c r="J5" s="239">
        <v>40.332499999999996</v>
      </c>
    </row>
    <row r="6" spans="1:13" ht="15" thickBot="1" x14ac:dyDescent="0.35">
      <c r="A6" s="18" t="s">
        <v>1163</v>
      </c>
      <c r="B6" s="20">
        <v>63.515399999999993</v>
      </c>
      <c r="C6" s="20">
        <v>46.7194</v>
      </c>
      <c r="D6" s="20">
        <v>55.559400000000004</v>
      </c>
      <c r="E6" s="20">
        <v>41.150199999999998</v>
      </c>
      <c r="F6" s="20">
        <v>65.482299999999995</v>
      </c>
      <c r="H6" s="241" t="s">
        <v>1155</v>
      </c>
      <c r="I6" s="242">
        <v>56.752800000000001</v>
      </c>
      <c r="J6" s="243">
        <v>56.752800000000001</v>
      </c>
    </row>
    <row r="7" spans="1:13" x14ac:dyDescent="0.3">
      <c r="A7" s="18" t="s">
        <v>636</v>
      </c>
      <c r="B7" s="20">
        <v>41.039700000000003</v>
      </c>
      <c r="C7" s="20">
        <v>38.122500000000002</v>
      </c>
      <c r="D7" s="20">
        <v>73.239400000000003</v>
      </c>
      <c r="E7" s="20">
        <v>42.542499999999997</v>
      </c>
      <c r="F7" s="20">
        <v>46.962499999999999</v>
      </c>
    </row>
    <row r="8" spans="1:13" ht="15" thickBot="1" x14ac:dyDescent="0.35">
      <c r="A8" s="244" t="s">
        <v>1164</v>
      </c>
      <c r="B8" s="245">
        <v>61.879999999999995</v>
      </c>
      <c r="C8" s="245">
        <v>66.3</v>
      </c>
      <c r="D8" s="245">
        <v>68.510000000000005</v>
      </c>
      <c r="E8" s="245">
        <v>61.879999999999995</v>
      </c>
      <c r="F8" s="245">
        <v>79.56</v>
      </c>
    </row>
    <row r="9" spans="1:13" ht="15" thickBot="1" x14ac:dyDescent="0.35">
      <c r="A9" s="246" t="s">
        <v>1158</v>
      </c>
      <c r="B9" s="247">
        <v>55.25</v>
      </c>
      <c r="C9" s="247">
        <v>44.2</v>
      </c>
      <c r="D9" s="247">
        <v>41.99</v>
      </c>
      <c r="E9" s="247">
        <v>41.99</v>
      </c>
      <c r="F9" s="247">
        <v>55.25</v>
      </c>
    </row>
    <row r="11" spans="1:13" ht="15" thickBot="1" x14ac:dyDescent="0.35"/>
    <row r="12" spans="1:13" ht="14.25" customHeight="1" thickBot="1" x14ac:dyDescent="0.35">
      <c r="C12" s="226" t="s">
        <v>1156</v>
      </c>
      <c r="D12" s="226" t="s">
        <v>1151</v>
      </c>
      <c r="E12" s="227" t="s">
        <v>1152</v>
      </c>
      <c r="F12" s="226" t="s">
        <v>1153</v>
      </c>
      <c r="G12" s="226" t="s">
        <v>1154</v>
      </c>
      <c r="H12" s="226" t="s">
        <v>1155</v>
      </c>
    </row>
    <row r="13" spans="1:13" ht="15" thickBot="1" x14ac:dyDescent="0.35">
      <c r="C13" s="229" t="s">
        <v>1167</v>
      </c>
      <c r="D13" s="230">
        <v>40.089399999999998</v>
      </c>
      <c r="E13" s="230">
        <v>34.255000000000003</v>
      </c>
      <c r="F13" s="230">
        <v>41.039700000000003</v>
      </c>
      <c r="G13" s="230">
        <v>74.344399999999993</v>
      </c>
      <c r="H13" s="230">
        <v>51.559299999999993</v>
      </c>
    </row>
    <row r="14" spans="1:13" ht="15" thickBot="1" x14ac:dyDescent="0.35"/>
    <row r="15" spans="1:13" ht="29.4" thickBot="1" x14ac:dyDescent="0.35">
      <c r="A15" s="224"/>
      <c r="B15" s="224" t="s">
        <v>1151</v>
      </c>
      <c r="C15" s="225" t="s">
        <v>1152</v>
      </c>
      <c r="D15" s="224" t="s">
        <v>1153</v>
      </c>
      <c r="E15" s="224" t="s">
        <v>1154</v>
      </c>
      <c r="F15" s="224" t="s">
        <v>1155</v>
      </c>
    </row>
    <row r="16" spans="1:13" x14ac:dyDescent="0.3">
      <c r="A16" s="248" t="s">
        <v>1158</v>
      </c>
      <c r="B16" s="56">
        <v>55.25</v>
      </c>
      <c r="C16" s="56">
        <v>44.2</v>
      </c>
      <c r="D16" s="56">
        <v>41.99</v>
      </c>
      <c r="E16" s="56">
        <v>41.99</v>
      </c>
      <c r="F16" s="56">
        <v>55.25</v>
      </c>
    </row>
    <row r="17" spans="1:6" x14ac:dyDescent="0.3">
      <c r="A17" s="249" t="s">
        <v>1157</v>
      </c>
      <c r="B17" s="20">
        <v>44.2</v>
      </c>
      <c r="C17" s="20">
        <v>46.41</v>
      </c>
      <c r="D17" s="20">
        <v>46.41</v>
      </c>
      <c r="E17" s="20">
        <v>55.25</v>
      </c>
      <c r="F17" s="20">
        <v>66.3</v>
      </c>
    </row>
    <row r="18" spans="1:6" ht="15" thickBot="1" x14ac:dyDescent="0.35">
      <c r="A18" s="250" t="s">
        <v>1159</v>
      </c>
      <c r="B18" s="231">
        <v>61.879999999999995</v>
      </c>
      <c r="C18" s="231">
        <v>66.3</v>
      </c>
      <c r="D18" s="231">
        <v>68.510000000000005</v>
      </c>
      <c r="E18" s="231">
        <v>61.879999999999995</v>
      </c>
      <c r="F18" s="231">
        <v>79.56</v>
      </c>
    </row>
    <row r="19" spans="1:6" x14ac:dyDescent="0.3">
      <c r="A19" s="34"/>
    </row>
  </sheetData>
  <hyperlinks>
    <hyperlink ref="M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rgb="FFFFFF00"/>
  </sheetPr>
  <dimension ref="A1:K115"/>
  <sheetViews>
    <sheetView topLeftCell="A36" workbookViewId="0">
      <selection activeCell="M1" sqref="M1"/>
    </sheetView>
  </sheetViews>
  <sheetFormatPr defaultRowHeight="14.4" x14ac:dyDescent="0.3"/>
  <cols>
    <col min="2" max="2" width="15.33203125" customWidth="1"/>
    <col min="3" max="3" width="20" customWidth="1"/>
    <col min="4" max="5" width="15.5546875" customWidth="1"/>
    <col min="6" max="6" width="16.5546875" customWidth="1"/>
    <col min="10" max="10" width="10.44140625" customWidth="1"/>
  </cols>
  <sheetData>
    <row r="1" spans="1:11" ht="63" customHeight="1" x14ac:dyDescent="0.3">
      <c r="A1" s="299" t="s">
        <v>1170</v>
      </c>
      <c r="B1" s="300"/>
      <c r="C1" s="300"/>
      <c r="D1" s="300"/>
      <c r="E1" s="300"/>
      <c r="F1" s="300"/>
      <c r="G1" s="300"/>
      <c r="H1" s="300"/>
      <c r="I1" s="182" t="s">
        <v>1148</v>
      </c>
    </row>
    <row r="2" spans="1:11" ht="15" thickBot="1" x14ac:dyDescent="0.35"/>
    <row r="3" spans="1:11" s="34" customFormat="1" ht="21" customHeight="1" thickBot="1" x14ac:dyDescent="0.35">
      <c r="A3" s="255" t="s">
        <v>243</v>
      </c>
      <c r="B3" s="255" t="s">
        <v>244</v>
      </c>
      <c r="C3" s="255" t="s">
        <v>178</v>
      </c>
      <c r="D3" s="255" t="s">
        <v>245</v>
      </c>
      <c r="E3" s="255" t="s">
        <v>246</v>
      </c>
      <c r="F3" s="256" t="s">
        <v>1</v>
      </c>
      <c r="G3" s="256" t="s">
        <v>247</v>
      </c>
      <c r="H3" s="256" t="s">
        <v>248</v>
      </c>
      <c r="J3" s="255" t="s">
        <v>245</v>
      </c>
      <c r="K3" s="255" t="s">
        <v>1169</v>
      </c>
    </row>
    <row r="4" spans="1:11" x14ac:dyDescent="0.3">
      <c r="A4" s="251">
        <v>0</v>
      </c>
      <c r="B4" s="252" t="s">
        <v>263</v>
      </c>
      <c r="C4" s="252" t="s">
        <v>275</v>
      </c>
      <c r="D4" s="252" t="s">
        <v>622</v>
      </c>
      <c r="E4" s="251">
        <v>101</v>
      </c>
      <c r="F4" s="253">
        <v>28160</v>
      </c>
      <c r="G4" s="254">
        <v>179</v>
      </c>
      <c r="H4" s="254">
        <v>78</v>
      </c>
      <c r="J4" t="s">
        <v>277</v>
      </c>
      <c r="K4" s="203">
        <v>101</v>
      </c>
    </row>
    <row r="5" spans="1:11" x14ac:dyDescent="0.3">
      <c r="A5" s="46">
        <v>0</v>
      </c>
      <c r="B5" s="148" t="s">
        <v>256</v>
      </c>
      <c r="C5" s="148" t="s">
        <v>268</v>
      </c>
      <c r="D5" s="148" t="s">
        <v>281</v>
      </c>
      <c r="E5" s="46">
        <v>311</v>
      </c>
      <c r="F5" s="149">
        <v>28697</v>
      </c>
      <c r="G5" s="21">
        <v>182</v>
      </c>
      <c r="H5" s="21">
        <v>54</v>
      </c>
      <c r="J5" t="s">
        <v>281</v>
      </c>
      <c r="K5" s="203">
        <v>110</v>
      </c>
    </row>
    <row r="6" spans="1:11" x14ac:dyDescent="0.3">
      <c r="A6" s="46">
        <v>0</v>
      </c>
      <c r="B6" s="148" t="s">
        <v>186</v>
      </c>
      <c r="C6" s="148" t="s">
        <v>267</v>
      </c>
      <c r="D6" s="148" t="s">
        <v>280</v>
      </c>
      <c r="E6" s="46">
        <v>111</v>
      </c>
      <c r="F6" s="149">
        <v>28382</v>
      </c>
      <c r="G6" s="21">
        <v>174</v>
      </c>
      <c r="H6" s="21">
        <v>65</v>
      </c>
      <c r="J6" t="s">
        <v>280</v>
      </c>
      <c r="K6" s="203">
        <v>111</v>
      </c>
    </row>
    <row r="7" spans="1:11" x14ac:dyDescent="0.3">
      <c r="A7" s="46">
        <v>0</v>
      </c>
      <c r="B7" s="148" t="s">
        <v>255</v>
      </c>
      <c r="C7" s="148" t="s">
        <v>265</v>
      </c>
      <c r="D7" s="148" t="s">
        <v>278</v>
      </c>
      <c r="E7" s="46">
        <v>211</v>
      </c>
      <c r="F7" s="149">
        <v>28527</v>
      </c>
      <c r="G7" s="21">
        <v>175</v>
      </c>
      <c r="H7" s="21">
        <v>86</v>
      </c>
      <c r="J7" t="s">
        <v>279</v>
      </c>
      <c r="K7" s="203">
        <v>201</v>
      </c>
    </row>
    <row r="8" spans="1:11" x14ac:dyDescent="0.3">
      <c r="A8" s="46">
        <v>1</v>
      </c>
      <c r="B8" s="148" t="s">
        <v>260</v>
      </c>
      <c r="C8" s="148" t="s">
        <v>272</v>
      </c>
      <c r="D8" s="148" t="s">
        <v>278</v>
      </c>
      <c r="E8" s="46">
        <v>311</v>
      </c>
      <c r="F8" s="149">
        <v>28197</v>
      </c>
      <c r="G8" s="21">
        <v>182</v>
      </c>
      <c r="H8" s="21">
        <v>55</v>
      </c>
      <c r="J8" t="s">
        <v>278</v>
      </c>
      <c r="K8" s="203">
        <v>211</v>
      </c>
    </row>
    <row r="9" spans="1:11" x14ac:dyDescent="0.3">
      <c r="A9" s="46">
        <v>1</v>
      </c>
      <c r="B9" s="148" t="s">
        <v>254</v>
      </c>
      <c r="C9" s="148" t="s">
        <v>266</v>
      </c>
      <c r="D9" s="148" t="s">
        <v>279</v>
      </c>
      <c r="E9" s="46">
        <v>511</v>
      </c>
      <c r="F9" s="149">
        <v>28564</v>
      </c>
      <c r="G9" s="21">
        <v>182</v>
      </c>
      <c r="H9" s="21">
        <v>76</v>
      </c>
      <c r="J9" t="s">
        <v>276</v>
      </c>
      <c r="K9" s="203">
        <v>311</v>
      </c>
    </row>
    <row r="10" spans="1:11" x14ac:dyDescent="0.3">
      <c r="A10" s="46">
        <v>0</v>
      </c>
      <c r="B10" s="148" t="s">
        <v>259</v>
      </c>
      <c r="C10" s="148" t="s">
        <v>271</v>
      </c>
      <c r="D10" s="148" t="s">
        <v>279</v>
      </c>
      <c r="E10" s="46">
        <v>211</v>
      </c>
      <c r="F10" s="149">
        <v>28725</v>
      </c>
      <c r="G10" s="21">
        <v>175</v>
      </c>
      <c r="H10" s="21">
        <v>56</v>
      </c>
      <c r="J10" t="s">
        <v>622</v>
      </c>
    </row>
    <row r="11" spans="1:11" x14ac:dyDescent="0.3">
      <c r="A11" s="46">
        <v>0</v>
      </c>
      <c r="B11" s="148" t="s">
        <v>253</v>
      </c>
      <c r="C11" s="148" t="s">
        <v>264</v>
      </c>
      <c r="D11" s="148" t="s">
        <v>277</v>
      </c>
      <c r="E11" s="46">
        <v>201</v>
      </c>
      <c r="F11" s="149">
        <v>26912</v>
      </c>
      <c r="G11" s="21">
        <v>180</v>
      </c>
      <c r="H11" s="21">
        <v>78</v>
      </c>
    </row>
    <row r="12" spans="1:11" x14ac:dyDescent="0.3">
      <c r="A12" s="46">
        <v>0</v>
      </c>
      <c r="B12" s="148" t="s">
        <v>258</v>
      </c>
      <c r="C12" s="148" t="s">
        <v>270</v>
      </c>
      <c r="D12" s="148" t="s">
        <v>277</v>
      </c>
      <c r="E12" s="46">
        <v>211</v>
      </c>
      <c r="F12" s="149">
        <v>28622</v>
      </c>
      <c r="G12" s="21">
        <v>176</v>
      </c>
      <c r="H12" s="21">
        <v>68</v>
      </c>
    </row>
    <row r="13" spans="1:11" x14ac:dyDescent="0.3">
      <c r="A13" s="46">
        <v>0</v>
      </c>
      <c r="B13" s="148" t="s">
        <v>261</v>
      </c>
      <c r="C13" s="148" t="s">
        <v>273</v>
      </c>
      <c r="D13" s="148" t="s">
        <v>277</v>
      </c>
      <c r="E13" s="46">
        <v>111</v>
      </c>
      <c r="F13" s="149">
        <v>28624</v>
      </c>
      <c r="G13" s="21">
        <v>185</v>
      </c>
      <c r="H13" s="21">
        <v>76</v>
      </c>
    </row>
    <row r="14" spans="1:11" x14ac:dyDescent="0.3">
      <c r="A14" s="46">
        <v>1</v>
      </c>
      <c r="B14" s="148" t="s">
        <v>252</v>
      </c>
      <c r="C14" s="148" t="s">
        <v>195</v>
      </c>
      <c r="D14" s="148" t="s">
        <v>276</v>
      </c>
      <c r="E14" s="46">
        <v>111</v>
      </c>
      <c r="F14" s="149">
        <v>26879</v>
      </c>
      <c r="G14" s="21">
        <v>185</v>
      </c>
      <c r="H14" s="21">
        <v>75</v>
      </c>
    </row>
    <row r="15" spans="1:11" x14ac:dyDescent="0.3">
      <c r="A15" s="46">
        <v>1</v>
      </c>
      <c r="B15" s="148" t="s">
        <v>257</v>
      </c>
      <c r="C15" s="148" t="s">
        <v>269</v>
      </c>
      <c r="D15" s="148" t="s">
        <v>276</v>
      </c>
      <c r="E15" s="46">
        <v>201</v>
      </c>
      <c r="F15" s="149">
        <v>28397</v>
      </c>
      <c r="G15" s="21">
        <v>180</v>
      </c>
      <c r="H15" s="21">
        <v>78</v>
      </c>
    </row>
    <row r="16" spans="1:11" x14ac:dyDescent="0.3">
      <c r="A16" s="46">
        <v>0</v>
      </c>
      <c r="B16" s="148" t="s">
        <v>262</v>
      </c>
      <c r="C16" s="148" t="s">
        <v>274</v>
      </c>
      <c r="D16" s="148" t="s">
        <v>276</v>
      </c>
      <c r="E16" s="46">
        <v>111</v>
      </c>
      <c r="F16" s="149">
        <v>29103</v>
      </c>
      <c r="G16" s="21">
        <v>180</v>
      </c>
      <c r="H16" s="21">
        <v>80</v>
      </c>
    </row>
    <row r="17" spans="1:8" x14ac:dyDescent="0.3">
      <c r="A17" s="49">
        <v>0</v>
      </c>
      <c r="B17" s="257" t="s">
        <v>379</v>
      </c>
      <c r="C17" s="257" t="s">
        <v>273</v>
      </c>
      <c r="D17" s="21" t="s">
        <v>278</v>
      </c>
      <c r="E17" s="46">
        <v>311</v>
      </c>
      <c r="F17" s="110">
        <v>28197</v>
      </c>
      <c r="G17" s="21">
        <v>182</v>
      </c>
      <c r="H17" s="258">
        <v>55</v>
      </c>
    </row>
    <row r="18" spans="1:8" x14ac:dyDescent="0.3">
      <c r="A18" s="49">
        <v>1</v>
      </c>
      <c r="B18" s="257" t="s">
        <v>385</v>
      </c>
      <c r="C18" s="257" t="s">
        <v>386</v>
      </c>
      <c r="D18" s="21" t="s">
        <v>276</v>
      </c>
      <c r="E18" s="46">
        <v>111</v>
      </c>
      <c r="F18" s="110">
        <v>27496</v>
      </c>
      <c r="G18" s="21">
        <v>178</v>
      </c>
      <c r="H18" s="258">
        <v>69</v>
      </c>
    </row>
    <row r="19" spans="1:8" x14ac:dyDescent="0.3">
      <c r="A19" s="49">
        <v>1</v>
      </c>
      <c r="B19" s="257" t="s">
        <v>389</v>
      </c>
      <c r="C19" s="257" t="s">
        <v>195</v>
      </c>
      <c r="D19" s="21" t="s">
        <v>276</v>
      </c>
      <c r="E19" s="46">
        <v>211</v>
      </c>
      <c r="F19" s="110">
        <v>26879</v>
      </c>
      <c r="G19" s="21">
        <v>185</v>
      </c>
      <c r="H19" s="21">
        <v>75</v>
      </c>
    </row>
    <row r="20" spans="1:8" x14ac:dyDescent="0.3">
      <c r="A20" s="49">
        <v>1</v>
      </c>
      <c r="B20" s="257" t="s">
        <v>392</v>
      </c>
      <c r="C20" s="257" t="s">
        <v>393</v>
      </c>
      <c r="D20" s="21" t="s">
        <v>278</v>
      </c>
      <c r="E20" s="46">
        <v>311</v>
      </c>
      <c r="F20" s="110">
        <v>28614</v>
      </c>
      <c r="G20" s="21">
        <v>185</v>
      </c>
      <c r="H20" s="258">
        <v>78</v>
      </c>
    </row>
    <row r="21" spans="1:8" x14ac:dyDescent="0.3">
      <c r="A21" s="49">
        <v>1</v>
      </c>
      <c r="B21" s="257" t="s">
        <v>395</v>
      </c>
      <c r="C21" s="257" t="s">
        <v>266</v>
      </c>
      <c r="D21" s="21" t="s">
        <v>279</v>
      </c>
      <c r="E21" s="46">
        <v>111</v>
      </c>
      <c r="F21" s="110">
        <v>28725</v>
      </c>
      <c r="G21" s="21">
        <v>174</v>
      </c>
      <c r="H21" s="21">
        <v>56</v>
      </c>
    </row>
    <row r="22" spans="1:8" x14ac:dyDescent="0.3">
      <c r="A22" s="49">
        <v>0</v>
      </c>
      <c r="B22" s="257" t="s">
        <v>397</v>
      </c>
      <c r="C22" s="257" t="s">
        <v>398</v>
      </c>
      <c r="D22" s="21" t="s">
        <v>281</v>
      </c>
      <c r="E22" s="46">
        <v>211</v>
      </c>
      <c r="F22" s="110">
        <v>28271</v>
      </c>
      <c r="G22" s="21">
        <v>152</v>
      </c>
      <c r="H22" s="258">
        <v>65</v>
      </c>
    </row>
    <row r="23" spans="1:8" x14ac:dyDescent="0.3">
      <c r="A23" s="49">
        <v>1</v>
      </c>
      <c r="B23" s="257" t="s">
        <v>401</v>
      </c>
      <c r="C23" s="257" t="s">
        <v>195</v>
      </c>
      <c r="D23" s="21" t="s">
        <v>277</v>
      </c>
      <c r="E23" s="46">
        <v>201</v>
      </c>
      <c r="F23" s="110">
        <v>28160</v>
      </c>
      <c r="G23" s="21">
        <v>179</v>
      </c>
      <c r="H23" s="258">
        <v>78</v>
      </c>
    </row>
    <row r="24" spans="1:8" x14ac:dyDescent="0.3">
      <c r="A24" s="49">
        <v>1</v>
      </c>
      <c r="B24" s="257" t="s">
        <v>403</v>
      </c>
      <c r="C24" s="257" t="s">
        <v>404</v>
      </c>
      <c r="D24" s="21" t="s">
        <v>276</v>
      </c>
      <c r="E24" s="46">
        <v>211</v>
      </c>
      <c r="F24" s="110">
        <v>29103</v>
      </c>
      <c r="G24" s="21">
        <v>180</v>
      </c>
      <c r="H24" s="258">
        <v>80</v>
      </c>
    </row>
    <row r="25" spans="1:8" x14ac:dyDescent="0.3">
      <c r="A25" s="49">
        <v>1</v>
      </c>
      <c r="B25" s="257" t="s">
        <v>407</v>
      </c>
      <c r="C25" s="257" t="s">
        <v>408</v>
      </c>
      <c r="D25" s="21" t="s">
        <v>277</v>
      </c>
      <c r="E25" s="46">
        <v>111</v>
      </c>
      <c r="F25" s="110">
        <v>26912</v>
      </c>
      <c r="G25" s="21">
        <v>180</v>
      </c>
      <c r="H25" s="258">
        <v>78</v>
      </c>
    </row>
    <row r="26" spans="1:8" x14ac:dyDescent="0.3">
      <c r="A26" s="49">
        <v>1</v>
      </c>
      <c r="B26" s="257" t="s">
        <v>410</v>
      </c>
      <c r="C26" s="257" t="s">
        <v>195</v>
      </c>
      <c r="D26" s="21" t="s">
        <v>276</v>
      </c>
      <c r="E26" s="46">
        <v>111</v>
      </c>
      <c r="F26" s="110">
        <v>28397</v>
      </c>
      <c r="G26" s="21">
        <v>180</v>
      </c>
      <c r="H26" s="258">
        <v>78</v>
      </c>
    </row>
    <row r="27" spans="1:8" x14ac:dyDescent="0.3">
      <c r="A27" s="49">
        <v>1</v>
      </c>
      <c r="B27" s="257" t="s">
        <v>412</v>
      </c>
      <c r="C27" s="257" t="s">
        <v>413</v>
      </c>
      <c r="D27" s="21" t="s">
        <v>279</v>
      </c>
      <c r="E27" s="46">
        <v>201</v>
      </c>
      <c r="F27" s="110">
        <v>28725</v>
      </c>
      <c r="G27" s="21">
        <v>1700</v>
      </c>
      <c r="H27" s="21">
        <v>56</v>
      </c>
    </row>
    <row r="28" spans="1:8" x14ac:dyDescent="0.3">
      <c r="A28" s="49">
        <v>0</v>
      </c>
      <c r="B28" s="257" t="s">
        <v>415</v>
      </c>
      <c r="C28" s="257" t="s">
        <v>416</v>
      </c>
      <c r="D28" s="21" t="s">
        <v>277</v>
      </c>
      <c r="E28" s="46">
        <v>111</v>
      </c>
      <c r="F28" s="110">
        <v>28622</v>
      </c>
      <c r="G28" s="21">
        <v>175</v>
      </c>
      <c r="H28" s="258">
        <v>68</v>
      </c>
    </row>
    <row r="29" spans="1:8" x14ac:dyDescent="0.3">
      <c r="A29" s="49">
        <v>1</v>
      </c>
      <c r="B29" s="257" t="s">
        <v>417</v>
      </c>
      <c r="C29" s="257" t="s">
        <v>418</v>
      </c>
      <c r="D29" s="21" t="s">
        <v>622</v>
      </c>
      <c r="E29" s="46">
        <v>311</v>
      </c>
      <c r="F29" s="110">
        <v>27895</v>
      </c>
      <c r="G29" s="21">
        <v>178</v>
      </c>
      <c r="H29" s="258">
        <v>72</v>
      </c>
    </row>
    <row r="30" spans="1:8" x14ac:dyDescent="0.3">
      <c r="A30" s="49">
        <v>1</v>
      </c>
      <c r="B30" s="257" t="s">
        <v>419</v>
      </c>
      <c r="C30" s="257" t="s">
        <v>386</v>
      </c>
      <c r="D30" s="21" t="s">
        <v>277</v>
      </c>
      <c r="E30" s="46">
        <v>111</v>
      </c>
      <c r="F30" s="110">
        <v>28160</v>
      </c>
      <c r="G30" s="21">
        <v>179</v>
      </c>
      <c r="H30" s="258">
        <v>78</v>
      </c>
    </row>
    <row r="31" spans="1:8" x14ac:dyDescent="0.3">
      <c r="A31" s="49">
        <v>0</v>
      </c>
      <c r="B31" s="257" t="s">
        <v>420</v>
      </c>
      <c r="C31" s="257" t="s">
        <v>421</v>
      </c>
      <c r="D31" s="21" t="s">
        <v>277</v>
      </c>
      <c r="E31" s="46">
        <v>211</v>
      </c>
      <c r="F31" s="110">
        <v>26879</v>
      </c>
      <c r="G31" s="21">
        <v>185</v>
      </c>
      <c r="H31" s="21">
        <v>75</v>
      </c>
    </row>
    <row r="32" spans="1:8" x14ac:dyDescent="0.3">
      <c r="A32" s="49">
        <v>1</v>
      </c>
      <c r="B32" s="257" t="s">
        <v>422</v>
      </c>
      <c r="C32" s="257" t="s">
        <v>423</v>
      </c>
      <c r="D32" s="21" t="s">
        <v>277</v>
      </c>
      <c r="E32" s="46">
        <v>311</v>
      </c>
      <c r="F32" s="110">
        <v>28614</v>
      </c>
      <c r="G32" s="21">
        <v>185</v>
      </c>
      <c r="H32" s="258">
        <v>78</v>
      </c>
    </row>
    <row r="33" spans="1:8" x14ac:dyDescent="0.3">
      <c r="A33" s="49">
        <v>1</v>
      </c>
      <c r="B33" s="257" t="s">
        <v>424</v>
      </c>
      <c r="C33" s="257" t="s">
        <v>425</v>
      </c>
      <c r="D33" s="21" t="s">
        <v>277</v>
      </c>
      <c r="E33" s="46">
        <v>111</v>
      </c>
      <c r="F33" s="110">
        <v>28725</v>
      </c>
      <c r="G33" s="21">
        <v>174</v>
      </c>
      <c r="H33" s="21">
        <v>56</v>
      </c>
    </row>
    <row r="34" spans="1:8" x14ac:dyDescent="0.3">
      <c r="A34" s="49">
        <v>0</v>
      </c>
      <c r="B34" s="257" t="s">
        <v>426</v>
      </c>
      <c r="C34" s="257" t="s">
        <v>268</v>
      </c>
      <c r="D34" s="21" t="s">
        <v>277</v>
      </c>
      <c r="E34" s="46">
        <v>211</v>
      </c>
      <c r="F34" s="110">
        <v>28271</v>
      </c>
      <c r="G34" s="21">
        <v>152</v>
      </c>
      <c r="H34" s="258">
        <v>65</v>
      </c>
    </row>
    <row r="35" spans="1:8" x14ac:dyDescent="0.3">
      <c r="A35" s="49">
        <v>1</v>
      </c>
      <c r="B35" s="257" t="s">
        <v>427</v>
      </c>
      <c r="C35" s="257" t="s">
        <v>266</v>
      </c>
      <c r="D35" s="148" t="s">
        <v>279</v>
      </c>
      <c r="E35" s="46">
        <v>201</v>
      </c>
      <c r="F35" s="110">
        <v>28160</v>
      </c>
      <c r="G35" s="21">
        <v>179</v>
      </c>
      <c r="H35" s="258">
        <v>78</v>
      </c>
    </row>
    <row r="36" spans="1:8" x14ac:dyDescent="0.3">
      <c r="A36" s="49">
        <v>1</v>
      </c>
      <c r="B36" s="257" t="s">
        <v>428</v>
      </c>
      <c r="C36" s="257" t="s">
        <v>429</v>
      </c>
      <c r="D36" s="148" t="s">
        <v>279</v>
      </c>
      <c r="E36" s="46">
        <v>211</v>
      </c>
      <c r="F36" s="110">
        <v>29103</v>
      </c>
      <c r="G36" s="21">
        <v>180</v>
      </c>
      <c r="H36" s="258">
        <v>80</v>
      </c>
    </row>
    <row r="37" spans="1:8" x14ac:dyDescent="0.3">
      <c r="A37" s="49">
        <v>1</v>
      </c>
      <c r="B37" s="257" t="s">
        <v>430</v>
      </c>
      <c r="C37" s="257" t="s">
        <v>269</v>
      </c>
      <c r="D37" s="148" t="s">
        <v>277</v>
      </c>
      <c r="E37" s="46">
        <v>111</v>
      </c>
      <c r="F37" s="110">
        <v>26912</v>
      </c>
      <c r="G37" s="21">
        <v>180</v>
      </c>
      <c r="H37" s="258">
        <v>78</v>
      </c>
    </row>
    <row r="38" spans="1:8" x14ac:dyDescent="0.3">
      <c r="A38" s="49">
        <v>1</v>
      </c>
      <c r="B38" s="257" t="s">
        <v>432</v>
      </c>
      <c r="C38" s="257" t="s">
        <v>386</v>
      </c>
      <c r="D38" s="148" t="s">
        <v>277</v>
      </c>
      <c r="E38" s="46">
        <v>111</v>
      </c>
      <c r="F38" s="149">
        <v>28564</v>
      </c>
      <c r="G38" s="21">
        <v>182</v>
      </c>
      <c r="H38" s="21">
        <v>76</v>
      </c>
    </row>
    <row r="39" spans="1:8" x14ac:dyDescent="0.3">
      <c r="A39" s="49">
        <v>0</v>
      </c>
      <c r="B39" s="257" t="s">
        <v>433</v>
      </c>
      <c r="C39" s="257" t="s">
        <v>434</v>
      </c>
      <c r="D39" s="148" t="s">
        <v>277</v>
      </c>
      <c r="E39" s="46">
        <v>201</v>
      </c>
      <c r="F39" s="149">
        <v>28725</v>
      </c>
      <c r="G39" s="21">
        <v>175</v>
      </c>
      <c r="H39" s="21">
        <v>56</v>
      </c>
    </row>
    <row r="40" spans="1:8" x14ac:dyDescent="0.3">
      <c r="A40" s="49">
        <v>1</v>
      </c>
      <c r="B40" s="257" t="s">
        <v>435</v>
      </c>
      <c r="C40" s="257" t="s">
        <v>423</v>
      </c>
      <c r="D40" s="148" t="s">
        <v>276</v>
      </c>
      <c r="E40" s="46">
        <v>111</v>
      </c>
      <c r="F40" s="149">
        <v>26912</v>
      </c>
      <c r="G40" s="21">
        <v>180</v>
      </c>
      <c r="H40" s="21">
        <v>78</v>
      </c>
    </row>
    <row r="41" spans="1:8" x14ac:dyDescent="0.3">
      <c r="A41" s="49">
        <v>1</v>
      </c>
      <c r="B41" s="257" t="s">
        <v>436</v>
      </c>
      <c r="C41" s="257" t="s">
        <v>195</v>
      </c>
      <c r="D41" s="148" t="s">
        <v>276</v>
      </c>
      <c r="E41" s="46">
        <v>311</v>
      </c>
      <c r="F41" s="149">
        <v>28622</v>
      </c>
      <c r="G41" s="21">
        <v>176</v>
      </c>
      <c r="H41" s="21">
        <v>68</v>
      </c>
    </row>
    <row r="42" spans="1:8" x14ac:dyDescent="0.3">
      <c r="A42" s="49">
        <v>1</v>
      </c>
      <c r="B42" s="257" t="s">
        <v>437</v>
      </c>
      <c r="C42" s="257" t="s">
        <v>438</v>
      </c>
      <c r="D42" s="148" t="s">
        <v>276</v>
      </c>
      <c r="E42" s="46">
        <v>111</v>
      </c>
      <c r="F42" s="149">
        <v>28624</v>
      </c>
      <c r="G42" s="21">
        <v>185</v>
      </c>
      <c r="H42" s="21">
        <v>76</v>
      </c>
    </row>
    <row r="43" spans="1:8" x14ac:dyDescent="0.3">
      <c r="A43" s="49">
        <v>1</v>
      </c>
      <c r="B43" s="257" t="s">
        <v>439</v>
      </c>
      <c r="C43" s="257" t="s">
        <v>440</v>
      </c>
      <c r="D43" s="21" t="s">
        <v>278</v>
      </c>
      <c r="E43" s="46">
        <v>211</v>
      </c>
      <c r="F43" s="149">
        <v>26879</v>
      </c>
      <c r="G43" s="21">
        <v>185</v>
      </c>
      <c r="H43" s="21">
        <v>75</v>
      </c>
    </row>
    <row r="44" spans="1:8" x14ac:dyDescent="0.3">
      <c r="A44" s="49">
        <v>1</v>
      </c>
      <c r="B44" s="257" t="s">
        <v>441</v>
      </c>
      <c r="C44" s="257" t="s">
        <v>386</v>
      </c>
      <c r="D44" s="21" t="s">
        <v>276</v>
      </c>
      <c r="E44" s="46">
        <v>311</v>
      </c>
      <c r="F44" s="149">
        <v>28397</v>
      </c>
      <c r="G44" s="21">
        <v>180</v>
      </c>
      <c r="H44" s="21">
        <v>78</v>
      </c>
    </row>
    <row r="45" spans="1:8" x14ac:dyDescent="0.3">
      <c r="A45" s="49">
        <v>0</v>
      </c>
      <c r="B45" s="257" t="s">
        <v>442</v>
      </c>
      <c r="C45" s="257" t="s">
        <v>271</v>
      </c>
      <c r="D45" s="21" t="s">
        <v>276</v>
      </c>
      <c r="E45" s="46">
        <v>111</v>
      </c>
      <c r="F45" s="149">
        <v>29103</v>
      </c>
      <c r="G45" s="21">
        <v>180</v>
      </c>
      <c r="H45" s="21">
        <v>80</v>
      </c>
    </row>
    <row r="46" spans="1:8" x14ac:dyDescent="0.3">
      <c r="A46" s="49">
        <v>1</v>
      </c>
      <c r="B46" s="257" t="s">
        <v>443</v>
      </c>
      <c r="C46" s="257" t="s">
        <v>444</v>
      </c>
      <c r="D46" s="21" t="s">
        <v>278</v>
      </c>
      <c r="E46" s="46">
        <v>211</v>
      </c>
      <c r="F46" s="110">
        <v>28197</v>
      </c>
      <c r="G46" s="21">
        <v>182</v>
      </c>
      <c r="H46" s="258">
        <v>55</v>
      </c>
    </row>
    <row r="47" spans="1:8" x14ac:dyDescent="0.3">
      <c r="A47" s="49">
        <v>0</v>
      </c>
      <c r="B47" s="257" t="s">
        <v>445</v>
      </c>
      <c r="C47" s="257" t="s">
        <v>274</v>
      </c>
      <c r="D47" s="21" t="s">
        <v>279</v>
      </c>
      <c r="E47" s="46">
        <v>411</v>
      </c>
      <c r="F47" s="110">
        <v>27496</v>
      </c>
      <c r="G47" s="21">
        <v>178</v>
      </c>
      <c r="H47" s="258">
        <v>69</v>
      </c>
    </row>
    <row r="48" spans="1:8" x14ac:dyDescent="0.3">
      <c r="A48" s="49">
        <v>1</v>
      </c>
      <c r="B48" s="257" t="s">
        <v>446</v>
      </c>
      <c r="C48" s="257" t="s">
        <v>266</v>
      </c>
      <c r="D48" s="21" t="s">
        <v>281</v>
      </c>
      <c r="E48" s="46">
        <v>211</v>
      </c>
      <c r="F48" s="110">
        <v>26879</v>
      </c>
      <c r="G48" s="21">
        <v>185</v>
      </c>
      <c r="H48" s="21">
        <v>75</v>
      </c>
    </row>
    <row r="49" spans="1:8" x14ac:dyDescent="0.3">
      <c r="A49" s="49">
        <v>1</v>
      </c>
      <c r="B49" s="257" t="s">
        <v>447</v>
      </c>
      <c r="C49" s="257" t="s">
        <v>448</v>
      </c>
      <c r="D49" s="21" t="s">
        <v>277</v>
      </c>
      <c r="E49" s="46">
        <v>111</v>
      </c>
      <c r="F49" s="110">
        <v>28614</v>
      </c>
      <c r="G49" s="21">
        <v>185</v>
      </c>
      <c r="H49" s="258">
        <v>78</v>
      </c>
    </row>
    <row r="50" spans="1:8" x14ac:dyDescent="0.3">
      <c r="A50" s="49">
        <v>0</v>
      </c>
      <c r="B50" s="257" t="s">
        <v>449</v>
      </c>
      <c r="C50" s="257" t="s">
        <v>450</v>
      </c>
      <c r="D50" s="21" t="s">
        <v>276</v>
      </c>
      <c r="E50" s="46">
        <v>111</v>
      </c>
      <c r="F50" s="110">
        <v>28725</v>
      </c>
      <c r="G50" s="21">
        <v>174</v>
      </c>
      <c r="H50" s="21">
        <v>56</v>
      </c>
    </row>
    <row r="51" spans="1:8" x14ac:dyDescent="0.3">
      <c r="A51" s="49">
        <v>0</v>
      </c>
      <c r="B51" s="257" t="s">
        <v>451</v>
      </c>
      <c r="C51" s="257" t="s">
        <v>416</v>
      </c>
      <c r="D51" s="21" t="s">
        <v>277</v>
      </c>
      <c r="E51" s="46">
        <v>201</v>
      </c>
      <c r="F51" s="110">
        <v>28271</v>
      </c>
      <c r="G51" s="21">
        <v>152</v>
      </c>
      <c r="H51" s="258">
        <v>620</v>
      </c>
    </row>
    <row r="52" spans="1:8" x14ac:dyDescent="0.3">
      <c r="A52" s="49">
        <v>0</v>
      </c>
      <c r="B52" s="257" t="s">
        <v>452</v>
      </c>
      <c r="C52" s="257" t="s">
        <v>274</v>
      </c>
      <c r="D52" s="21" t="s">
        <v>276</v>
      </c>
      <c r="E52" s="46">
        <v>111</v>
      </c>
      <c r="F52" s="110">
        <v>28160</v>
      </c>
      <c r="G52" s="21">
        <v>179</v>
      </c>
      <c r="H52" s="258">
        <v>78</v>
      </c>
    </row>
    <row r="53" spans="1:8" x14ac:dyDescent="0.3">
      <c r="A53" s="49">
        <v>1</v>
      </c>
      <c r="B53" s="257" t="s">
        <v>453</v>
      </c>
      <c r="C53" s="257" t="s">
        <v>454</v>
      </c>
      <c r="D53" s="21" t="s">
        <v>279</v>
      </c>
      <c r="E53" s="46">
        <v>311</v>
      </c>
      <c r="F53" s="110">
        <v>29103</v>
      </c>
      <c r="G53" s="21">
        <v>180</v>
      </c>
      <c r="H53" s="258">
        <v>80</v>
      </c>
    </row>
    <row r="54" spans="1:8" x14ac:dyDescent="0.3">
      <c r="A54" s="49">
        <v>1</v>
      </c>
      <c r="B54" s="257" t="s">
        <v>455</v>
      </c>
      <c r="C54" s="257" t="s">
        <v>456</v>
      </c>
      <c r="D54" s="21" t="s">
        <v>277</v>
      </c>
      <c r="E54" s="46">
        <v>111</v>
      </c>
      <c r="F54" s="110">
        <v>26912</v>
      </c>
      <c r="G54" s="21">
        <v>180</v>
      </c>
      <c r="H54" s="258">
        <v>78</v>
      </c>
    </row>
    <row r="55" spans="1:8" x14ac:dyDescent="0.3">
      <c r="A55" s="49">
        <v>1</v>
      </c>
      <c r="B55" s="257" t="s">
        <v>457</v>
      </c>
      <c r="C55" s="257" t="s">
        <v>458</v>
      </c>
      <c r="D55" s="21" t="s">
        <v>622</v>
      </c>
      <c r="E55" s="46">
        <v>211</v>
      </c>
      <c r="F55" s="110">
        <v>28397</v>
      </c>
      <c r="G55" s="21">
        <v>180</v>
      </c>
      <c r="H55" s="258">
        <v>78</v>
      </c>
    </row>
    <row r="56" spans="1:8" x14ac:dyDescent="0.3">
      <c r="A56" s="49">
        <v>1</v>
      </c>
      <c r="B56" s="257" t="s">
        <v>459</v>
      </c>
      <c r="C56" s="257" t="s">
        <v>423</v>
      </c>
      <c r="D56" s="21" t="s">
        <v>277</v>
      </c>
      <c r="E56" s="46">
        <v>311</v>
      </c>
      <c r="F56" s="110">
        <v>28725</v>
      </c>
      <c r="G56" s="21">
        <v>170</v>
      </c>
      <c r="H56" s="21">
        <v>56</v>
      </c>
    </row>
    <row r="57" spans="1:8" x14ac:dyDescent="0.3">
      <c r="A57" s="49">
        <v>0</v>
      </c>
      <c r="B57" s="257" t="s">
        <v>461</v>
      </c>
      <c r="C57" s="257" t="s">
        <v>462</v>
      </c>
      <c r="D57" s="148" t="s">
        <v>279</v>
      </c>
      <c r="E57" s="46">
        <v>111</v>
      </c>
      <c r="F57" s="110">
        <v>28622</v>
      </c>
      <c r="G57" s="21">
        <v>175</v>
      </c>
      <c r="H57" s="258">
        <v>68</v>
      </c>
    </row>
    <row r="58" spans="1:8" x14ac:dyDescent="0.3">
      <c r="A58" s="49">
        <v>1</v>
      </c>
      <c r="B58" s="257" t="s">
        <v>463</v>
      </c>
      <c r="C58" s="257" t="s">
        <v>464</v>
      </c>
      <c r="D58" s="148" t="s">
        <v>279</v>
      </c>
      <c r="E58" s="46">
        <v>211</v>
      </c>
      <c r="F58" s="149">
        <v>28564</v>
      </c>
      <c r="G58" s="21">
        <v>182</v>
      </c>
      <c r="H58" s="21">
        <v>76</v>
      </c>
    </row>
    <row r="59" spans="1:8" x14ac:dyDescent="0.3">
      <c r="A59" s="49">
        <v>0</v>
      </c>
      <c r="B59" s="257" t="s">
        <v>467</v>
      </c>
      <c r="C59" s="257" t="s">
        <v>468</v>
      </c>
      <c r="D59" s="148" t="s">
        <v>277</v>
      </c>
      <c r="E59" s="46">
        <v>201</v>
      </c>
      <c r="F59" s="149">
        <v>28725</v>
      </c>
      <c r="G59" s="21">
        <v>175</v>
      </c>
      <c r="H59" s="21">
        <v>56</v>
      </c>
    </row>
    <row r="60" spans="1:8" x14ac:dyDescent="0.3">
      <c r="A60" s="49">
        <v>0</v>
      </c>
      <c r="B60" s="257" t="s">
        <v>469</v>
      </c>
      <c r="C60" s="257" t="s">
        <v>470</v>
      </c>
      <c r="D60" s="148" t="s">
        <v>277</v>
      </c>
      <c r="E60" s="46">
        <v>211</v>
      </c>
      <c r="F60" s="149">
        <v>26912</v>
      </c>
      <c r="G60" s="21">
        <v>180</v>
      </c>
      <c r="H60" s="21">
        <v>78</v>
      </c>
    </row>
    <row r="61" spans="1:8" x14ac:dyDescent="0.3">
      <c r="A61" s="49">
        <v>0</v>
      </c>
      <c r="B61" s="257" t="s">
        <v>472</v>
      </c>
      <c r="C61" s="257" t="s">
        <v>473</v>
      </c>
      <c r="D61" s="148" t="s">
        <v>277</v>
      </c>
      <c r="E61" s="46">
        <v>111</v>
      </c>
      <c r="F61" s="149">
        <v>28622</v>
      </c>
      <c r="G61" s="21">
        <v>176</v>
      </c>
      <c r="H61" s="21">
        <v>68</v>
      </c>
    </row>
    <row r="62" spans="1:8" x14ac:dyDescent="0.3">
      <c r="A62" s="49">
        <v>1</v>
      </c>
      <c r="B62" s="257" t="s">
        <v>476</v>
      </c>
      <c r="C62" s="257" t="s">
        <v>386</v>
      </c>
      <c r="D62" s="148" t="s">
        <v>276</v>
      </c>
      <c r="E62" s="46">
        <v>111</v>
      </c>
      <c r="F62" s="149">
        <v>28624</v>
      </c>
      <c r="G62" s="21">
        <v>185</v>
      </c>
      <c r="H62" s="21">
        <v>76</v>
      </c>
    </row>
    <row r="63" spans="1:8" x14ac:dyDescent="0.3">
      <c r="A63" s="49">
        <v>1</v>
      </c>
      <c r="B63" s="257" t="s">
        <v>477</v>
      </c>
      <c r="C63" s="257" t="s">
        <v>423</v>
      </c>
      <c r="D63" s="148" t="s">
        <v>276</v>
      </c>
      <c r="E63" s="46">
        <v>201</v>
      </c>
      <c r="F63" s="149">
        <v>26879</v>
      </c>
      <c r="G63" s="21">
        <v>185</v>
      </c>
      <c r="H63" s="21">
        <v>75</v>
      </c>
    </row>
    <row r="64" spans="1:8" x14ac:dyDescent="0.3">
      <c r="A64" s="49">
        <v>1</v>
      </c>
      <c r="B64" s="257" t="s">
        <v>478</v>
      </c>
      <c r="C64" s="257" t="s">
        <v>195</v>
      </c>
      <c r="D64" s="148" t="s">
        <v>276</v>
      </c>
      <c r="E64" s="46">
        <v>111</v>
      </c>
      <c r="F64" s="149">
        <v>28397</v>
      </c>
      <c r="G64" s="21">
        <v>180</v>
      </c>
      <c r="H64" s="21">
        <v>78</v>
      </c>
    </row>
    <row r="65" spans="1:8" x14ac:dyDescent="0.3">
      <c r="A65" s="49">
        <v>1</v>
      </c>
      <c r="B65" s="257" t="s">
        <v>479</v>
      </c>
      <c r="C65" s="257" t="s">
        <v>423</v>
      </c>
      <c r="D65" s="21" t="s">
        <v>278</v>
      </c>
      <c r="E65" s="46">
        <v>311</v>
      </c>
      <c r="F65" s="149">
        <v>29103</v>
      </c>
      <c r="G65" s="21">
        <v>180</v>
      </c>
      <c r="H65" s="21">
        <v>80</v>
      </c>
    </row>
    <row r="66" spans="1:8" x14ac:dyDescent="0.3">
      <c r="A66" s="49">
        <v>1</v>
      </c>
      <c r="B66" s="257" t="s">
        <v>480</v>
      </c>
      <c r="C66" s="257" t="s">
        <v>195</v>
      </c>
      <c r="D66" s="21" t="s">
        <v>276</v>
      </c>
      <c r="E66" s="46">
        <v>111</v>
      </c>
      <c r="F66" s="110">
        <v>28197</v>
      </c>
      <c r="G66" s="21">
        <v>182</v>
      </c>
      <c r="H66" s="258">
        <v>55</v>
      </c>
    </row>
    <row r="67" spans="1:8" x14ac:dyDescent="0.3">
      <c r="A67" s="49">
        <v>1</v>
      </c>
      <c r="B67" s="257" t="s">
        <v>481</v>
      </c>
      <c r="C67" s="257" t="s">
        <v>482</v>
      </c>
      <c r="D67" s="21" t="s">
        <v>276</v>
      </c>
      <c r="E67" s="46">
        <v>211</v>
      </c>
      <c r="F67" s="110">
        <v>27496</v>
      </c>
      <c r="G67" s="21">
        <v>178</v>
      </c>
      <c r="H67" s="258">
        <v>69</v>
      </c>
    </row>
    <row r="68" spans="1:8" x14ac:dyDescent="0.3">
      <c r="A68" s="49">
        <v>1</v>
      </c>
      <c r="B68" s="257" t="s">
        <v>484</v>
      </c>
      <c r="C68" s="257" t="s">
        <v>485</v>
      </c>
      <c r="D68" s="21" t="s">
        <v>278</v>
      </c>
      <c r="E68" s="46">
        <v>311</v>
      </c>
      <c r="F68" s="110">
        <v>26879</v>
      </c>
      <c r="G68" s="21">
        <v>185</v>
      </c>
      <c r="H68" s="21">
        <v>75</v>
      </c>
    </row>
    <row r="69" spans="1:8" x14ac:dyDescent="0.3">
      <c r="A69" s="49">
        <v>0</v>
      </c>
      <c r="B69" s="257" t="s">
        <v>486</v>
      </c>
      <c r="C69" s="257" t="s">
        <v>271</v>
      </c>
      <c r="D69" s="21" t="s">
        <v>279</v>
      </c>
      <c r="E69" s="46">
        <v>111</v>
      </c>
      <c r="F69" s="110">
        <v>28614</v>
      </c>
      <c r="G69" s="21">
        <v>185</v>
      </c>
      <c r="H69" s="258">
        <v>78</v>
      </c>
    </row>
    <row r="70" spans="1:8" x14ac:dyDescent="0.3">
      <c r="A70" s="49">
        <v>0</v>
      </c>
      <c r="B70" s="257" t="s">
        <v>487</v>
      </c>
      <c r="C70" s="257" t="s">
        <v>273</v>
      </c>
      <c r="D70" s="21" t="s">
        <v>281</v>
      </c>
      <c r="E70" s="46">
        <v>211</v>
      </c>
      <c r="F70" s="110">
        <v>28725</v>
      </c>
      <c r="G70" s="21">
        <v>174</v>
      </c>
      <c r="H70" s="21">
        <v>56</v>
      </c>
    </row>
    <row r="71" spans="1:8" x14ac:dyDescent="0.3">
      <c r="A71" s="49">
        <v>1</v>
      </c>
      <c r="B71" s="257" t="s">
        <v>490</v>
      </c>
      <c r="C71" s="257" t="s">
        <v>195</v>
      </c>
      <c r="D71" s="21" t="s">
        <v>277</v>
      </c>
      <c r="E71" s="46">
        <v>201</v>
      </c>
      <c r="F71" s="110">
        <v>28271</v>
      </c>
      <c r="G71" s="21">
        <v>152</v>
      </c>
      <c r="H71" s="258">
        <v>65</v>
      </c>
    </row>
    <row r="72" spans="1:8" x14ac:dyDescent="0.3">
      <c r="A72" s="49">
        <v>0</v>
      </c>
      <c r="B72" s="257" t="s">
        <v>492</v>
      </c>
      <c r="C72" s="257" t="s">
        <v>493</v>
      </c>
      <c r="D72" s="21" t="s">
        <v>276</v>
      </c>
      <c r="E72" s="46">
        <v>211</v>
      </c>
      <c r="F72" s="110">
        <v>28160</v>
      </c>
      <c r="G72" s="21">
        <v>179</v>
      </c>
      <c r="H72" s="258">
        <v>78</v>
      </c>
    </row>
    <row r="73" spans="1:8" x14ac:dyDescent="0.3">
      <c r="A73" s="49">
        <v>1</v>
      </c>
      <c r="B73" s="257" t="s">
        <v>495</v>
      </c>
      <c r="C73" s="257" t="s">
        <v>269</v>
      </c>
      <c r="D73" s="21" t="s">
        <v>277</v>
      </c>
      <c r="E73" s="46">
        <v>111</v>
      </c>
      <c r="F73" s="110">
        <v>29103</v>
      </c>
      <c r="G73" s="21">
        <v>180</v>
      </c>
      <c r="H73" s="258">
        <v>80</v>
      </c>
    </row>
    <row r="74" spans="1:8" x14ac:dyDescent="0.3">
      <c r="A74" s="49">
        <v>1</v>
      </c>
      <c r="B74" s="257" t="s">
        <v>497</v>
      </c>
      <c r="C74" s="257" t="s">
        <v>429</v>
      </c>
      <c r="D74" s="21" t="s">
        <v>276</v>
      </c>
      <c r="E74" s="46">
        <v>111</v>
      </c>
      <c r="F74" s="110">
        <v>26912</v>
      </c>
      <c r="G74" s="21">
        <v>180</v>
      </c>
      <c r="H74" s="258">
        <v>78</v>
      </c>
    </row>
    <row r="75" spans="1:8" x14ac:dyDescent="0.3">
      <c r="A75" s="49">
        <v>0</v>
      </c>
      <c r="B75" s="257" t="s">
        <v>499</v>
      </c>
      <c r="C75" s="257" t="s">
        <v>274</v>
      </c>
      <c r="D75" s="21" t="s">
        <v>279</v>
      </c>
      <c r="E75" s="46">
        <v>201</v>
      </c>
      <c r="F75" s="110">
        <v>28397</v>
      </c>
      <c r="G75" s="21">
        <v>180</v>
      </c>
      <c r="H75" s="258">
        <v>78</v>
      </c>
    </row>
    <row r="76" spans="1:8" x14ac:dyDescent="0.3">
      <c r="A76" s="49">
        <v>1</v>
      </c>
      <c r="B76" s="257" t="s">
        <v>501</v>
      </c>
      <c r="C76" s="257" t="s">
        <v>201</v>
      </c>
      <c r="D76" s="21" t="s">
        <v>277</v>
      </c>
      <c r="E76" s="46">
        <v>111</v>
      </c>
      <c r="F76" s="110">
        <v>28725</v>
      </c>
      <c r="G76" s="21">
        <v>170</v>
      </c>
      <c r="H76" s="21">
        <v>56</v>
      </c>
    </row>
    <row r="77" spans="1:8" x14ac:dyDescent="0.3">
      <c r="A77" s="49">
        <v>1</v>
      </c>
      <c r="B77" s="257" t="s">
        <v>502</v>
      </c>
      <c r="C77" s="257" t="s">
        <v>266</v>
      </c>
      <c r="D77" s="21" t="s">
        <v>622</v>
      </c>
      <c r="E77" s="46">
        <v>311</v>
      </c>
      <c r="F77" s="110">
        <v>28622</v>
      </c>
      <c r="G77" s="21">
        <v>175</v>
      </c>
      <c r="H77" s="258">
        <v>68</v>
      </c>
    </row>
    <row r="78" spans="1:8" x14ac:dyDescent="0.3">
      <c r="A78" s="49">
        <v>0</v>
      </c>
      <c r="B78" s="257" t="s">
        <v>504</v>
      </c>
      <c r="C78" s="257" t="s">
        <v>273</v>
      </c>
      <c r="D78" s="148" t="s">
        <v>279</v>
      </c>
      <c r="E78" s="46">
        <v>111</v>
      </c>
      <c r="F78" s="149">
        <v>28564</v>
      </c>
      <c r="G78" s="21">
        <v>182</v>
      </c>
      <c r="H78" s="21">
        <v>76</v>
      </c>
    </row>
    <row r="79" spans="1:8" x14ac:dyDescent="0.3">
      <c r="A79" s="49">
        <v>1</v>
      </c>
      <c r="B79" s="257" t="s">
        <v>463</v>
      </c>
      <c r="C79" s="257" t="s">
        <v>195</v>
      </c>
      <c r="D79" s="148" t="s">
        <v>279</v>
      </c>
      <c r="E79" s="46">
        <v>211</v>
      </c>
      <c r="F79" s="149">
        <v>28725</v>
      </c>
      <c r="G79" s="21">
        <v>175</v>
      </c>
      <c r="H79" s="21">
        <v>56</v>
      </c>
    </row>
    <row r="80" spans="1:8" x14ac:dyDescent="0.3">
      <c r="A80" s="49">
        <v>1</v>
      </c>
      <c r="B80" s="257" t="s">
        <v>507</v>
      </c>
      <c r="C80" s="257" t="s">
        <v>448</v>
      </c>
      <c r="D80" s="148" t="s">
        <v>277</v>
      </c>
      <c r="E80" s="46">
        <v>311</v>
      </c>
      <c r="F80" s="149">
        <v>26912</v>
      </c>
      <c r="G80" s="21">
        <v>180</v>
      </c>
      <c r="H80" s="21">
        <v>78</v>
      </c>
    </row>
    <row r="81" spans="1:8" x14ac:dyDescent="0.3">
      <c r="A81" s="49">
        <v>0</v>
      </c>
      <c r="B81" s="257" t="s">
        <v>508</v>
      </c>
      <c r="C81" s="257" t="s">
        <v>268</v>
      </c>
      <c r="D81" s="148" t="s">
        <v>277</v>
      </c>
      <c r="E81" s="46">
        <v>111</v>
      </c>
      <c r="F81" s="149">
        <v>28622</v>
      </c>
      <c r="G81" s="21">
        <v>176</v>
      </c>
      <c r="H81" s="21">
        <v>68</v>
      </c>
    </row>
    <row r="82" spans="1:8" x14ac:dyDescent="0.3">
      <c r="A82" s="49">
        <v>0</v>
      </c>
      <c r="B82" s="257" t="s">
        <v>509</v>
      </c>
      <c r="C82" s="257" t="s">
        <v>510</v>
      </c>
      <c r="D82" s="148" t="s">
        <v>277</v>
      </c>
      <c r="E82" s="46">
        <v>211</v>
      </c>
      <c r="F82" s="149">
        <v>28624</v>
      </c>
      <c r="G82" s="21">
        <v>185</v>
      </c>
      <c r="H82" s="21">
        <v>76</v>
      </c>
    </row>
    <row r="83" spans="1:8" x14ac:dyDescent="0.3">
      <c r="A83" s="49">
        <v>1</v>
      </c>
      <c r="B83" s="257" t="s">
        <v>252</v>
      </c>
      <c r="C83" s="257" t="s">
        <v>195</v>
      </c>
      <c r="D83" s="148" t="s">
        <v>276</v>
      </c>
      <c r="E83" s="46">
        <v>201</v>
      </c>
      <c r="F83" s="149">
        <v>26879</v>
      </c>
      <c r="G83" s="21">
        <v>185</v>
      </c>
      <c r="H83" s="21">
        <v>75</v>
      </c>
    </row>
    <row r="84" spans="1:8" x14ac:dyDescent="0.3">
      <c r="A84" s="49">
        <v>0</v>
      </c>
      <c r="B84" s="257" t="s">
        <v>512</v>
      </c>
      <c r="C84" s="257" t="s">
        <v>513</v>
      </c>
      <c r="D84" s="148" t="s">
        <v>276</v>
      </c>
      <c r="E84" s="46">
        <v>211</v>
      </c>
      <c r="F84" s="149">
        <v>28397</v>
      </c>
      <c r="G84" s="21">
        <v>180</v>
      </c>
      <c r="H84" s="21">
        <v>78</v>
      </c>
    </row>
    <row r="85" spans="1:8" x14ac:dyDescent="0.3">
      <c r="A85" s="49">
        <v>1</v>
      </c>
      <c r="B85" s="257" t="s">
        <v>515</v>
      </c>
      <c r="C85" s="257" t="s">
        <v>386</v>
      </c>
      <c r="D85" s="148" t="s">
        <v>276</v>
      </c>
      <c r="E85" s="46">
        <v>111</v>
      </c>
      <c r="F85" s="149">
        <v>29103</v>
      </c>
      <c r="G85" s="21">
        <v>180</v>
      </c>
      <c r="H85" s="21">
        <v>80</v>
      </c>
    </row>
    <row r="86" spans="1:8" x14ac:dyDescent="0.3">
      <c r="A86" s="49">
        <v>1</v>
      </c>
      <c r="B86" s="257" t="s">
        <v>517</v>
      </c>
      <c r="C86" s="257" t="s">
        <v>518</v>
      </c>
      <c r="D86" s="21" t="s">
        <v>278</v>
      </c>
      <c r="E86" s="46">
        <v>111</v>
      </c>
      <c r="F86" s="110">
        <v>28197</v>
      </c>
      <c r="G86" s="21">
        <v>182</v>
      </c>
      <c r="H86" s="258">
        <v>55</v>
      </c>
    </row>
    <row r="87" spans="1:8" x14ac:dyDescent="0.3">
      <c r="A87" s="49">
        <v>1</v>
      </c>
      <c r="B87" s="257" t="s">
        <v>519</v>
      </c>
      <c r="C87" s="257" t="s">
        <v>266</v>
      </c>
      <c r="D87" s="21" t="s">
        <v>276</v>
      </c>
      <c r="E87" s="46">
        <v>201</v>
      </c>
      <c r="F87" s="110">
        <v>27496</v>
      </c>
      <c r="G87" s="21">
        <v>178</v>
      </c>
      <c r="H87" s="258">
        <v>69</v>
      </c>
    </row>
    <row r="88" spans="1:8" x14ac:dyDescent="0.3">
      <c r="A88" s="49">
        <v>1</v>
      </c>
      <c r="B88" s="257" t="s">
        <v>521</v>
      </c>
      <c r="C88" s="257" t="s">
        <v>386</v>
      </c>
      <c r="D88" s="21" t="s">
        <v>276</v>
      </c>
      <c r="E88" s="46">
        <v>111</v>
      </c>
      <c r="F88" s="110">
        <v>26879</v>
      </c>
      <c r="G88" s="21">
        <v>185</v>
      </c>
      <c r="H88" s="21">
        <v>75</v>
      </c>
    </row>
    <row r="89" spans="1:8" x14ac:dyDescent="0.3">
      <c r="A89" s="49">
        <v>1</v>
      </c>
      <c r="B89" s="257" t="s">
        <v>522</v>
      </c>
      <c r="C89" s="257" t="s">
        <v>429</v>
      </c>
      <c r="D89" s="21" t="s">
        <v>278</v>
      </c>
      <c r="E89" s="46">
        <v>311</v>
      </c>
      <c r="F89" s="110">
        <v>28614</v>
      </c>
      <c r="G89" s="21">
        <v>185</v>
      </c>
      <c r="H89" s="258">
        <v>78</v>
      </c>
    </row>
    <row r="90" spans="1:8" x14ac:dyDescent="0.3">
      <c r="A90" s="49">
        <v>1</v>
      </c>
      <c r="B90" s="257" t="s">
        <v>524</v>
      </c>
      <c r="C90" s="257" t="s">
        <v>525</v>
      </c>
      <c r="D90" s="21" t="s">
        <v>279</v>
      </c>
      <c r="E90" s="46">
        <v>111</v>
      </c>
      <c r="F90" s="110">
        <v>28725</v>
      </c>
      <c r="G90" s="21">
        <v>174</v>
      </c>
      <c r="H90" s="21">
        <v>56</v>
      </c>
    </row>
    <row r="91" spans="1:8" x14ac:dyDescent="0.3">
      <c r="A91" s="49">
        <v>0</v>
      </c>
      <c r="B91" s="257" t="s">
        <v>526</v>
      </c>
      <c r="C91" s="257" t="s">
        <v>268</v>
      </c>
      <c r="D91" s="21" t="s">
        <v>281</v>
      </c>
      <c r="E91" s="46">
        <v>211</v>
      </c>
      <c r="F91" s="110">
        <v>28271</v>
      </c>
      <c r="G91" s="21">
        <v>152</v>
      </c>
      <c r="H91" s="258">
        <v>65</v>
      </c>
    </row>
    <row r="92" spans="1:8" x14ac:dyDescent="0.3">
      <c r="A92" s="49">
        <v>1</v>
      </c>
      <c r="B92" s="257" t="s">
        <v>527</v>
      </c>
      <c r="C92" s="257" t="s">
        <v>195</v>
      </c>
      <c r="D92" s="21" t="s">
        <v>277</v>
      </c>
      <c r="E92" s="46">
        <v>311</v>
      </c>
      <c r="F92" s="110">
        <v>28160</v>
      </c>
      <c r="G92" s="21">
        <v>179</v>
      </c>
      <c r="H92" s="258">
        <v>78</v>
      </c>
    </row>
    <row r="93" spans="1:8" x14ac:dyDescent="0.3">
      <c r="A93" s="49">
        <v>1</v>
      </c>
      <c r="B93" s="257" t="s">
        <v>529</v>
      </c>
      <c r="C93" s="257" t="s">
        <v>530</v>
      </c>
      <c r="D93" s="21" t="s">
        <v>276</v>
      </c>
      <c r="E93" s="46">
        <v>111</v>
      </c>
      <c r="F93" s="110">
        <v>29103</v>
      </c>
      <c r="G93" s="21">
        <v>180</v>
      </c>
      <c r="H93" s="258">
        <v>80</v>
      </c>
    </row>
    <row r="94" spans="1:8" x14ac:dyDescent="0.3">
      <c r="A94" s="49">
        <v>1</v>
      </c>
      <c r="B94" s="257" t="s">
        <v>532</v>
      </c>
      <c r="C94" s="257" t="s">
        <v>533</v>
      </c>
      <c r="D94" s="21" t="s">
        <v>277</v>
      </c>
      <c r="E94" s="46">
        <v>211</v>
      </c>
      <c r="F94" s="110">
        <v>26912</v>
      </c>
      <c r="G94" s="21">
        <v>180</v>
      </c>
      <c r="H94" s="258">
        <v>78</v>
      </c>
    </row>
    <row r="95" spans="1:8" x14ac:dyDescent="0.3">
      <c r="A95" s="49">
        <v>0</v>
      </c>
      <c r="B95" s="257" t="s">
        <v>534</v>
      </c>
      <c r="C95" s="257" t="s">
        <v>535</v>
      </c>
      <c r="D95" s="21" t="s">
        <v>276</v>
      </c>
      <c r="E95" s="46">
        <v>201</v>
      </c>
      <c r="F95" s="110">
        <v>28397</v>
      </c>
      <c r="G95" s="21">
        <v>180</v>
      </c>
      <c r="H95" s="258">
        <v>78</v>
      </c>
    </row>
    <row r="96" spans="1:8" x14ac:dyDescent="0.3">
      <c r="A96" s="49">
        <v>1</v>
      </c>
      <c r="B96" s="257" t="s">
        <v>536</v>
      </c>
      <c r="C96" s="257" t="s">
        <v>485</v>
      </c>
      <c r="D96" s="21" t="s">
        <v>279</v>
      </c>
      <c r="E96" s="46">
        <v>211</v>
      </c>
      <c r="F96" s="110">
        <v>28725</v>
      </c>
      <c r="G96" s="21">
        <v>170</v>
      </c>
      <c r="H96" s="21">
        <v>56</v>
      </c>
    </row>
    <row r="97" spans="1:8" x14ac:dyDescent="0.3">
      <c r="A97" s="49">
        <v>0</v>
      </c>
      <c r="B97" s="257" t="s">
        <v>537</v>
      </c>
      <c r="C97" s="257" t="s">
        <v>538</v>
      </c>
      <c r="D97" s="21" t="s">
        <v>277</v>
      </c>
      <c r="E97" s="46">
        <v>111</v>
      </c>
      <c r="F97" s="110">
        <v>28622</v>
      </c>
      <c r="G97" s="21">
        <v>175</v>
      </c>
      <c r="H97" s="258">
        <v>68</v>
      </c>
    </row>
    <row r="98" spans="1:8" x14ac:dyDescent="0.3">
      <c r="A98" s="49">
        <v>1</v>
      </c>
      <c r="B98" s="257" t="s">
        <v>540</v>
      </c>
      <c r="C98" s="257" t="s">
        <v>482</v>
      </c>
      <c r="D98" s="21" t="s">
        <v>622</v>
      </c>
      <c r="E98" s="46">
        <v>111</v>
      </c>
      <c r="F98" s="149">
        <v>28564</v>
      </c>
      <c r="G98" s="21">
        <v>182</v>
      </c>
      <c r="H98" s="21">
        <v>76</v>
      </c>
    </row>
    <row r="99" spans="1:8" x14ac:dyDescent="0.3">
      <c r="A99" s="49">
        <v>1</v>
      </c>
      <c r="B99" s="257" t="s">
        <v>541</v>
      </c>
      <c r="C99" s="257" t="s">
        <v>425</v>
      </c>
      <c r="D99" s="21" t="s">
        <v>277</v>
      </c>
      <c r="E99" s="46">
        <v>201</v>
      </c>
      <c r="F99" s="149">
        <v>28725</v>
      </c>
      <c r="G99" s="21">
        <v>175</v>
      </c>
      <c r="H99" s="21">
        <v>56</v>
      </c>
    </row>
    <row r="100" spans="1:8" x14ac:dyDescent="0.3">
      <c r="A100" s="49">
        <v>1</v>
      </c>
      <c r="B100" s="257" t="s">
        <v>542</v>
      </c>
      <c r="C100" s="257" t="s">
        <v>543</v>
      </c>
      <c r="D100" s="148" t="s">
        <v>279</v>
      </c>
      <c r="E100" s="46">
        <v>111</v>
      </c>
      <c r="F100" s="149">
        <v>26912</v>
      </c>
      <c r="G100" s="21">
        <v>180</v>
      </c>
      <c r="H100" s="21">
        <v>78</v>
      </c>
    </row>
    <row r="101" spans="1:8" x14ac:dyDescent="0.3">
      <c r="A101" s="49">
        <v>1</v>
      </c>
      <c r="B101" s="257" t="s">
        <v>545</v>
      </c>
      <c r="C101" s="257" t="s">
        <v>201</v>
      </c>
      <c r="D101" s="148" t="s">
        <v>279</v>
      </c>
      <c r="E101" s="46">
        <v>555</v>
      </c>
      <c r="F101" s="149">
        <v>28622</v>
      </c>
      <c r="G101" s="21">
        <v>176</v>
      </c>
      <c r="H101" s="21">
        <v>68</v>
      </c>
    </row>
    <row r="102" spans="1:8" x14ac:dyDescent="0.3">
      <c r="A102" s="49">
        <v>1</v>
      </c>
      <c r="B102" s="257" t="s">
        <v>547</v>
      </c>
      <c r="C102" s="257" t="s">
        <v>548</v>
      </c>
      <c r="D102" s="148" t="s">
        <v>277</v>
      </c>
      <c r="E102" s="46">
        <v>111</v>
      </c>
      <c r="F102" s="149">
        <v>28624</v>
      </c>
      <c r="G102" s="21">
        <v>185</v>
      </c>
      <c r="H102" s="21">
        <v>76</v>
      </c>
    </row>
    <row r="103" spans="1:8" x14ac:dyDescent="0.3">
      <c r="A103" s="49">
        <v>1</v>
      </c>
      <c r="B103" s="257" t="s">
        <v>549</v>
      </c>
      <c r="C103" s="257" t="s">
        <v>550</v>
      </c>
      <c r="D103" s="148" t="s">
        <v>277</v>
      </c>
      <c r="E103" s="46">
        <v>211</v>
      </c>
      <c r="F103" s="149">
        <v>26879</v>
      </c>
      <c r="G103" s="21">
        <v>185</v>
      </c>
      <c r="H103" s="21">
        <v>75</v>
      </c>
    </row>
    <row r="104" spans="1:8" x14ac:dyDescent="0.3">
      <c r="A104" s="49">
        <v>1</v>
      </c>
      <c r="B104" s="257" t="s">
        <v>551</v>
      </c>
      <c r="C104" s="257" t="s">
        <v>533</v>
      </c>
      <c r="D104" s="148" t="s">
        <v>277</v>
      </c>
      <c r="E104" s="46">
        <v>311</v>
      </c>
      <c r="F104" s="149">
        <v>28397</v>
      </c>
      <c r="G104" s="21">
        <v>180</v>
      </c>
      <c r="H104" s="21">
        <v>78</v>
      </c>
    </row>
    <row r="105" spans="1:8" x14ac:dyDescent="0.3">
      <c r="A105" s="49">
        <v>1</v>
      </c>
      <c r="B105" s="257" t="s">
        <v>552</v>
      </c>
      <c r="C105" s="257" t="s">
        <v>195</v>
      </c>
      <c r="D105" s="148" t="s">
        <v>276</v>
      </c>
      <c r="E105" s="46">
        <v>111</v>
      </c>
      <c r="F105" s="149">
        <v>29103</v>
      </c>
      <c r="G105" s="21">
        <v>180</v>
      </c>
      <c r="H105" s="21">
        <v>80</v>
      </c>
    </row>
    <row r="106" spans="1:8" x14ac:dyDescent="0.3">
      <c r="A106" s="49">
        <v>1</v>
      </c>
      <c r="B106" s="257" t="s">
        <v>554</v>
      </c>
      <c r="C106" s="257" t="s">
        <v>464</v>
      </c>
      <c r="D106" s="148" t="s">
        <v>276</v>
      </c>
      <c r="E106" s="46">
        <v>211</v>
      </c>
      <c r="F106" s="110">
        <v>28197</v>
      </c>
      <c r="G106" s="21">
        <v>182</v>
      </c>
      <c r="H106" s="258">
        <v>55</v>
      </c>
    </row>
    <row r="107" spans="1:8" x14ac:dyDescent="0.3">
      <c r="A107" s="49">
        <v>0</v>
      </c>
      <c r="B107" s="257" t="s">
        <v>556</v>
      </c>
      <c r="C107" s="257" t="s">
        <v>513</v>
      </c>
      <c r="D107" s="148" t="s">
        <v>276</v>
      </c>
      <c r="E107" s="46">
        <v>201</v>
      </c>
      <c r="F107" s="110">
        <v>27496</v>
      </c>
      <c r="G107" s="21">
        <v>178</v>
      </c>
      <c r="H107" s="258">
        <v>69</v>
      </c>
    </row>
    <row r="108" spans="1:8" x14ac:dyDescent="0.3">
      <c r="A108" s="49">
        <v>1</v>
      </c>
      <c r="B108" s="257" t="s">
        <v>557</v>
      </c>
      <c r="C108" s="257" t="s">
        <v>485</v>
      </c>
      <c r="D108" s="21" t="s">
        <v>278</v>
      </c>
      <c r="E108" s="46">
        <v>211</v>
      </c>
      <c r="F108" s="110">
        <v>26879</v>
      </c>
      <c r="G108" s="21">
        <v>185</v>
      </c>
      <c r="H108" s="21">
        <v>75</v>
      </c>
    </row>
    <row r="109" spans="1:8" x14ac:dyDescent="0.3">
      <c r="A109" s="49">
        <v>1</v>
      </c>
      <c r="B109" s="257" t="s">
        <v>558</v>
      </c>
      <c r="C109" s="257" t="s">
        <v>559</v>
      </c>
      <c r="D109" s="21" t="s">
        <v>276</v>
      </c>
      <c r="E109" s="46">
        <v>111</v>
      </c>
      <c r="F109" s="110">
        <v>28614</v>
      </c>
      <c r="G109" s="21">
        <v>185</v>
      </c>
      <c r="H109" s="258">
        <v>78</v>
      </c>
    </row>
    <row r="110" spans="1:8" x14ac:dyDescent="0.3">
      <c r="A110" s="49">
        <v>1</v>
      </c>
      <c r="B110" s="257" t="s">
        <v>560</v>
      </c>
      <c r="C110" s="257" t="s">
        <v>269</v>
      </c>
      <c r="D110" s="21" t="s">
        <v>276</v>
      </c>
      <c r="E110" s="46">
        <v>111</v>
      </c>
      <c r="F110" s="110">
        <v>28725</v>
      </c>
      <c r="G110" s="21">
        <v>174</v>
      </c>
      <c r="H110" s="21">
        <v>56</v>
      </c>
    </row>
    <row r="111" spans="1:8" x14ac:dyDescent="0.3">
      <c r="A111" s="49">
        <v>0</v>
      </c>
      <c r="B111" s="257" t="s">
        <v>561</v>
      </c>
      <c r="C111" s="257" t="s">
        <v>510</v>
      </c>
      <c r="D111" s="21" t="s">
        <v>278</v>
      </c>
      <c r="E111" s="46">
        <v>201</v>
      </c>
      <c r="F111" s="110">
        <v>28271</v>
      </c>
      <c r="G111" s="21">
        <v>152</v>
      </c>
      <c r="H111" s="258">
        <v>65</v>
      </c>
    </row>
    <row r="112" spans="1:8" x14ac:dyDescent="0.3">
      <c r="A112" s="49">
        <v>1</v>
      </c>
      <c r="B112" s="257" t="s">
        <v>562</v>
      </c>
      <c r="C112" s="257" t="s">
        <v>563</v>
      </c>
      <c r="D112" s="21" t="s">
        <v>279</v>
      </c>
      <c r="E112" s="46">
        <v>111</v>
      </c>
      <c r="F112" s="110">
        <v>28160</v>
      </c>
      <c r="G112" s="21">
        <v>179</v>
      </c>
      <c r="H112" s="258">
        <v>78</v>
      </c>
    </row>
    <row r="113" spans="1:8" x14ac:dyDescent="0.3">
      <c r="A113" s="49">
        <v>1</v>
      </c>
      <c r="B113" s="257" t="s">
        <v>565</v>
      </c>
      <c r="C113" s="257" t="s">
        <v>266</v>
      </c>
      <c r="D113" s="21" t="s">
        <v>281</v>
      </c>
      <c r="E113" s="259">
        <v>444</v>
      </c>
      <c r="F113" s="110">
        <v>29103</v>
      </c>
      <c r="G113" s="21">
        <v>180</v>
      </c>
      <c r="H113" s="258">
        <v>80</v>
      </c>
    </row>
    <row r="114" spans="1:8" x14ac:dyDescent="0.3">
      <c r="A114" s="49">
        <v>1</v>
      </c>
      <c r="B114" s="257" t="s">
        <v>566</v>
      </c>
      <c r="C114" s="257" t="s">
        <v>429</v>
      </c>
      <c r="D114" s="21" t="s">
        <v>277</v>
      </c>
      <c r="E114" s="259">
        <v>211</v>
      </c>
      <c r="F114" s="110">
        <v>26912</v>
      </c>
      <c r="G114" s="21">
        <v>180</v>
      </c>
      <c r="H114" s="258">
        <v>78</v>
      </c>
    </row>
    <row r="115" spans="1:8" ht="15" thickBot="1" x14ac:dyDescent="0.35">
      <c r="A115" s="265">
        <v>1</v>
      </c>
      <c r="B115" s="261" t="s">
        <v>567</v>
      </c>
      <c r="C115" s="261" t="s">
        <v>568</v>
      </c>
      <c r="D115" s="260" t="s">
        <v>276</v>
      </c>
      <c r="E115" s="262">
        <v>201</v>
      </c>
      <c r="F115" s="263">
        <v>28397</v>
      </c>
      <c r="G115" s="260">
        <v>180</v>
      </c>
      <c r="H115" s="264">
        <v>78</v>
      </c>
    </row>
  </sheetData>
  <mergeCells count="1">
    <mergeCell ref="A1:H1"/>
  </mergeCells>
  <hyperlinks>
    <hyperlink ref="I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rgb="FF92D050"/>
  </sheetPr>
  <dimension ref="A1:O129"/>
  <sheetViews>
    <sheetView workbookViewId="0">
      <selection activeCell="M1" sqref="M1"/>
    </sheetView>
  </sheetViews>
  <sheetFormatPr defaultRowHeight="14.4" x14ac:dyDescent="0.3"/>
  <cols>
    <col min="1" max="1" width="9.109375" style="203"/>
    <col min="2" max="2" width="15.44140625" customWidth="1"/>
    <col min="3" max="3" width="12" customWidth="1"/>
    <col min="6" max="6" width="12.6640625" customWidth="1"/>
  </cols>
  <sheetData>
    <row r="1" spans="1:15" ht="21" x14ac:dyDescent="0.4">
      <c r="A1" s="266" t="s">
        <v>284</v>
      </c>
      <c r="O1" s="182" t="s">
        <v>1148</v>
      </c>
    </row>
    <row r="2" spans="1:15" ht="15" thickBot="1" x14ac:dyDescent="0.35"/>
    <row r="3" spans="1:15" ht="15" thickBot="1" x14ac:dyDescent="0.35">
      <c r="A3" s="268" t="s">
        <v>243</v>
      </c>
      <c r="B3" s="269" t="s">
        <v>178</v>
      </c>
      <c r="C3" s="269" t="s">
        <v>244</v>
      </c>
      <c r="D3" s="269" t="s">
        <v>245</v>
      </c>
      <c r="E3" s="269" t="s">
        <v>246</v>
      </c>
      <c r="F3" s="269" t="s">
        <v>1</v>
      </c>
      <c r="G3" s="269" t="s">
        <v>247</v>
      </c>
      <c r="H3" s="269" t="s">
        <v>248</v>
      </c>
      <c r="I3" s="269" t="s">
        <v>249</v>
      </c>
      <c r="J3" s="269" t="s">
        <v>250</v>
      </c>
      <c r="K3" s="269" t="s">
        <v>282</v>
      </c>
      <c r="L3" s="269" t="s">
        <v>251</v>
      </c>
    </row>
    <row r="4" spans="1:15" x14ac:dyDescent="0.3">
      <c r="A4" s="203">
        <v>0</v>
      </c>
      <c r="B4" t="s">
        <v>253</v>
      </c>
      <c r="C4" t="s">
        <v>264</v>
      </c>
      <c r="D4" t="s">
        <v>277</v>
      </c>
      <c r="E4">
        <v>201</v>
      </c>
      <c r="F4" s="28">
        <v>26912</v>
      </c>
      <c r="G4">
        <v>180</v>
      </c>
      <c r="H4" s="141">
        <v>78</v>
      </c>
      <c r="I4">
        <v>1</v>
      </c>
      <c r="J4">
        <v>45</v>
      </c>
      <c r="K4">
        <v>1.4</v>
      </c>
      <c r="L4">
        <v>67.5</v>
      </c>
    </row>
    <row r="5" spans="1:15" x14ac:dyDescent="0.3">
      <c r="A5" s="49">
        <v>1</v>
      </c>
      <c r="B5" s="21" t="s">
        <v>631</v>
      </c>
      <c r="C5" s="21" t="s">
        <v>639</v>
      </c>
      <c r="D5" s="21" t="s">
        <v>276</v>
      </c>
      <c r="E5" s="21">
        <v>201</v>
      </c>
      <c r="F5" s="110">
        <v>28397</v>
      </c>
      <c r="G5" s="21">
        <v>180</v>
      </c>
      <c r="H5" s="258">
        <v>78</v>
      </c>
      <c r="I5" s="21">
        <v>0</v>
      </c>
      <c r="J5" s="21">
        <v>36</v>
      </c>
      <c r="K5" s="21">
        <v>1.6</v>
      </c>
      <c r="L5" s="21">
        <v>105</v>
      </c>
    </row>
    <row r="6" spans="1:15" x14ac:dyDescent="0.3">
      <c r="A6" s="49">
        <v>0</v>
      </c>
      <c r="B6" s="21" t="s">
        <v>186</v>
      </c>
      <c r="C6" s="21" t="s">
        <v>267</v>
      </c>
      <c r="D6" s="21" t="s">
        <v>280</v>
      </c>
      <c r="E6" s="21">
        <v>111</v>
      </c>
      <c r="F6" s="110">
        <v>28382</v>
      </c>
      <c r="G6" s="21">
        <v>164</v>
      </c>
      <c r="H6" s="21">
        <v>65</v>
      </c>
      <c r="I6" s="21">
        <v>1</v>
      </c>
      <c r="J6" s="21">
        <v>52</v>
      </c>
      <c r="K6" s="21">
        <v>1.4</v>
      </c>
      <c r="L6" s="21">
        <v>73.7</v>
      </c>
    </row>
    <row r="7" spans="1:15" x14ac:dyDescent="0.3">
      <c r="A7" s="49">
        <v>0</v>
      </c>
      <c r="B7" s="21" t="s">
        <v>256</v>
      </c>
      <c r="C7" s="21" t="s">
        <v>268</v>
      </c>
      <c r="D7" s="21" t="s">
        <v>281</v>
      </c>
      <c r="E7" s="21">
        <v>311</v>
      </c>
      <c r="F7" s="110">
        <v>28697</v>
      </c>
      <c r="G7" s="21">
        <v>182</v>
      </c>
      <c r="H7" s="258">
        <v>54</v>
      </c>
      <c r="I7" s="21">
        <v>1</v>
      </c>
      <c r="J7" s="21">
        <v>64</v>
      </c>
      <c r="K7" s="21">
        <v>1.1000000000000001</v>
      </c>
      <c r="L7" s="21">
        <v>83.2</v>
      </c>
    </row>
    <row r="8" spans="1:15" x14ac:dyDescent="0.3">
      <c r="A8" s="49">
        <v>0</v>
      </c>
      <c r="B8" s="21" t="s">
        <v>258</v>
      </c>
      <c r="C8" s="21" t="s">
        <v>270</v>
      </c>
      <c r="D8" s="21" t="s">
        <v>277</v>
      </c>
      <c r="E8" s="21">
        <v>211</v>
      </c>
      <c r="F8" s="110">
        <v>28622</v>
      </c>
      <c r="G8" s="21">
        <v>176</v>
      </c>
      <c r="H8" s="258">
        <v>68</v>
      </c>
      <c r="I8" s="21">
        <v>0</v>
      </c>
      <c r="J8" s="21">
        <v>75</v>
      </c>
      <c r="K8" s="21">
        <v>1.3</v>
      </c>
      <c r="L8" s="21">
        <v>79.2</v>
      </c>
    </row>
    <row r="9" spans="1:15" x14ac:dyDescent="0.3">
      <c r="A9" s="49">
        <v>0</v>
      </c>
      <c r="B9" s="21" t="s">
        <v>637</v>
      </c>
      <c r="C9" s="21" t="s">
        <v>644</v>
      </c>
      <c r="D9" s="21" t="s">
        <v>280</v>
      </c>
      <c r="E9" s="21">
        <v>111</v>
      </c>
      <c r="F9" s="110">
        <v>28382</v>
      </c>
      <c r="G9" s="21">
        <v>165</v>
      </c>
      <c r="H9" s="21">
        <v>65</v>
      </c>
      <c r="I9" s="21">
        <v>1</v>
      </c>
      <c r="J9" s="21">
        <v>52</v>
      </c>
      <c r="K9" s="21">
        <v>1.4</v>
      </c>
      <c r="L9" s="21">
        <v>73.7</v>
      </c>
    </row>
    <row r="10" spans="1:15" x14ac:dyDescent="0.3">
      <c r="A10" s="49">
        <v>1</v>
      </c>
      <c r="B10" s="21" t="s">
        <v>645</v>
      </c>
      <c r="C10" s="21" t="s">
        <v>266</v>
      </c>
      <c r="D10" s="21" t="s">
        <v>278</v>
      </c>
      <c r="E10" s="21">
        <v>101</v>
      </c>
      <c r="F10" s="110">
        <v>28403</v>
      </c>
      <c r="G10" s="21">
        <v>154</v>
      </c>
      <c r="H10" s="258">
        <v>56</v>
      </c>
      <c r="I10" s="258">
        <v>0</v>
      </c>
      <c r="J10" s="258">
        <v>34</v>
      </c>
      <c r="K10" s="258">
        <v>1.1000000000000001</v>
      </c>
      <c r="L10" s="258">
        <v>54.6</v>
      </c>
    </row>
    <row r="11" spans="1:15" x14ac:dyDescent="0.3">
      <c r="A11" s="49">
        <v>0</v>
      </c>
      <c r="B11" s="21" t="s">
        <v>261</v>
      </c>
      <c r="C11" s="21" t="s">
        <v>273</v>
      </c>
      <c r="D11" s="21" t="s">
        <v>277</v>
      </c>
      <c r="E11" s="21">
        <v>111</v>
      </c>
      <c r="F11" s="110">
        <v>28624</v>
      </c>
      <c r="G11" s="21">
        <v>185</v>
      </c>
      <c r="H11" s="258">
        <v>76</v>
      </c>
      <c r="I11" s="21">
        <v>1</v>
      </c>
      <c r="J11" s="21">
        <v>44</v>
      </c>
      <c r="K11" s="21">
        <v>1.5</v>
      </c>
      <c r="L11" s="21">
        <v>46.4</v>
      </c>
    </row>
    <row r="12" spans="1:15" x14ac:dyDescent="0.3">
      <c r="A12" s="49">
        <v>0</v>
      </c>
      <c r="B12" s="21" t="s">
        <v>635</v>
      </c>
      <c r="C12" s="21" t="s">
        <v>642</v>
      </c>
      <c r="D12" s="21" t="s">
        <v>278</v>
      </c>
      <c r="E12" s="21">
        <v>211</v>
      </c>
      <c r="F12" s="110">
        <v>28527</v>
      </c>
      <c r="G12" s="21">
        <v>168</v>
      </c>
      <c r="H12" s="21">
        <v>86</v>
      </c>
      <c r="I12" s="21">
        <v>0</v>
      </c>
      <c r="J12" s="21">
        <v>31</v>
      </c>
      <c r="K12" s="21">
        <v>1.5</v>
      </c>
      <c r="L12" s="21">
        <v>40.299999999999997</v>
      </c>
    </row>
    <row r="13" spans="1:15" x14ac:dyDescent="0.3">
      <c r="A13" s="49">
        <v>0</v>
      </c>
      <c r="B13" s="21" t="s">
        <v>626</v>
      </c>
      <c r="C13" s="21" t="s">
        <v>416</v>
      </c>
      <c r="D13" s="21" t="s">
        <v>281</v>
      </c>
      <c r="E13" s="21">
        <v>311</v>
      </c>
      <c r="F13" s="110">
        <v>28697</v>
      </c>
      <c r="G13" s="21">
        <v>182</v>
      </c>
      <c r="H13" s="258">
        <v>54</v>
      </c>
      <c r="I13" s="21">
        <v>1</v>
      </c>
      <c r="J13" s="21">
        <v>64</v>
      </c>
      <c r="K13" s="21">
        <v>1.1000000000000001</v>
      </c>
      <c r="L13" s="21">
        <v>83.2</v>
      </c>
    </row>
    <row r="14" spans="1:15" x14ac:dyDescent="0.3">
      <c r="A14" s="49">
        <v>1</v>
      </c>
      <c r="B14" s="21" t="s">
        <v>254</v>
      </c>
      <c r="C14" s="21" t="s">
        <v>266</v>
      </c>
      <c r="D14" s="21" t="s">
        <v>279</v>
      </c>
      <c r="E14" s="21">
        <v>111</v>
      </c>
      <c r="F14" s="110">
        <v>28564</v>
      </c>
      <c r="G14" s="21">
        <v>182</v>
      </c>
      <c r="H14" s="258">
        <v>76</v>
      </c>
      <c r="I14" s="21">
        <v>0</v>
      </c>
      <c r="J14" s="21">
        <v>22</v>
      </c>
      <c r="K14" s="21">
        <v>1.2</v>
      </c>
      <c r="L14" s="21">
        <v>72.8</v>
      </c>
    </row>
    <row r="15" spans="1:15" x14ac:dyDescent="0.3">
      <c r="A15" s="49">
        <v>0</v>
      </c>
      <c r="B15" s="21" t="s">
        <v>255</v>
      </c>
      <c r="C15" s="21" t="s">
        <v>265</v>
      </c>
      <c r="D15" s="21" t="s">
        <v>278</v>
      </c>
      <c r="E15" s="21">
        <v>211</v>
      </c>
      <c r="F15" s="110">
        <v>28527</v>
      </c>
      <c r="G15" s="21">
        <v>172</v>
      </c>
      <c r="H15" s="21">
        <v>86</v>
      </c>
      <c r="I15" s="21">
        <v>0</v>
      </c>
      <c r="J15" s="21">
        <v>31</v>
      </c>
      <c r="K15" s="21">
        <v>1.5</v>
      </c>
      <c r="L15" s="21">
        <v>40.299999999999997</v>
      </c>
    </row>
    <row r="16" spans="1:15" x14ac:dyDescent="0.3">
      <c r="A16" s="49">
        <v>0</v>
      </c>
      <c r="B16" s="21" t="s">
        <v>262</v>
      </c>
      <c r="C16" s="21" t="s">
        <v>274</v>
      </c>
      <c r="D16" s="21" t="s">
        <v>276</v>
      </c>
      <c r="E16" s="21">
        <v>111</v>
      </c>
      <c r="F16" s="110">
        <v>29103</v>
      </c>
      <c r="G16" s="21">
        <v>180</v>
      </c>
      <c r="H16" s="258">
        <v>80</v>
      </c>
      <c r="I16" s="21">
        <v>0</v>
      </c>
      <c r="J16" s="21">
        <v>29</v>
      </c>
      <c r="K16" s="21">
        <v>1.3</v>
      </c>
      <c r="L16" s="21">
        <v>54</v>
      </c>
    </row>
    <row r="17" spans="1:12" x14ac:dyDescent="0.3">
      <c r="A17" s="49">
        <v>1</v>
      </c>
      <c r="B17" s="21" t="s">
        <v>646</v>
      </c>
      <c r="C17" s="21" t="s">
        <v>550</v>
      </c>
      <c r="D17" s="21" t="s">
        <v>279</v>
      </c>
      <c r="E17" s="21">
        <v>201</v>
      </c>
      <c r="F17" s="110">
        <v>28743</v>
      </c>
      <c r="G17" s="21">
        <v>156</v>
      </c>
      <c r="H17" s="258">
        <v>51</v>
      </c>
      <c r="I17" s="258">
        <v>0</v>
      </c>
      <c r="J17" s="258">
        <v>56</v>
      </c>
      <c r="K17" s="258">
        <v>1.2</v>
      </c>
      <c r="L17" s="258">
        <v>74.2</v>
      </c>
    </row>
    <row r="18" spans="1:12" x14ac:dyDescent="0.3">
      <c r="A18" s="49">
        <v>1</v>
      </c>
      <c r="B18" s="21" t="s">
        <v>629</v>
      </c>
      <c r="C18" s="21" t="s">
        <v>269</v>
      </c>
      <c r="D18" s="21" t="s">
        <v>278</v>
      </c>
      <c r="E18" s="21">
        <v>311</v>
      </c>
      <c r="F18" s="110">
        <v>28197</v>
      </c>
      <c r="G18" s="21">
        <v>182</v>
      </c>
      <c r="H18" s="258">
        <v>55</v>
      </c>
      <c r="I18" s="21">
        <v>1</v>
      </c>
      <c r="J18" s="21">
        <v>36</v>
      </c>
      <c r="K18" s="21">
        <v>1.5</v>
      </c>
      <c r="L18" s="21">
        <v>61.6</v>
      </c>
    </row>
    <row r="19" spans="1:12" x14ac:dyDescent="0.3">
      <c r="A19" s="49">
        <v>1</v>
      </c>
      <c r="B19" s="21" t="s">
        <v>260</v>
      </c>
      <c r="C19" s="21" t="s">
        <v>272</v>
      </c>
      <c r="D19" s="21" t="s">
        <v>278</v>
      </c>
      <c r="E19" s="21">
        <v>311</v>
      </c>
      <c r="F19" s="110">
        <v>28197</v>
      </c>
      <c r="G19" s="21">
        <v>182</v>
      </c>
      <c r="H19" s="258">
        <v>55</v>
      </c>
      <c r="I19" s="21">
        <v>1</v>
      </c>
      <c r="J19" s="21">
        <v>36</v>
      </c>
      <c r="K19" s="21">
        <v>1.5</v>
      </c>
      <c r="L19" s="21">
        <v>61.6</v>
      </c>
    </row>
    <row r="20" spans="1:12" x14ac:dyDescent="0.3">
      <c r="A20" s="49">
        <v>0</v>
      </c>
      <c r="B20" s="21" t="s">
        <v>648</v>
      </c>
      <c r="C20" s="21" t="s">
        <v>650</v>
      </c>
      <c r="D20" s="21" t="s">
        <v>276</v>
      </c>
      <c r="E20" s="21">
        <v>211</v>
      </c>
      <c r="F20" s="110">
        <v>27496</v>
      </c>
      <c r="G20" s="21">
        <v>178</v>
      </c>
      <c r="H20" s="258">
        <v>69</v>
      </c>
      <c r="I20" s="258">
        <v>1</v>
      </c>
      <c r="J20" s="258">
        <v>45</v>
      </c>
      <c r="K20" s="258">
        <v>1.4</v>
      </c>
      <c r="L20" s="258">
        <v>68.2</v>
      </c>
    </row>
    <row r="21" spans="1:12" x14ac:dyDescent="0.3">
      <c r="A21" s="49">
        <v>1</v>
      </c>
      <c r="B21" s="21" t="s">
        <v>252</v>
      </c>
      <c r="C21" s="21" t="s">
        <v>195</v>
      </c>
      <c r="D21" s="21" t="s">
        <v>276</v>
      </c>
      <c r="E21" s="21">
        <v>111</v>
      </c>
      <c r="F21" s="110">
        <v>26879</v>
      </c>
      <c r="G21" s="21">
        <v>185</v>
      </c>
      <c r="H21" s="21">
        <v>75</v>
      </c>
      <c r="I21" s="21">
        <v>0</v>
      </c>
      <c r="J21" s="21">
        <v>36</v>
      </c>
      <c r="K21" s="21">
        <v>1.2</v>
      </c>
      <c r="L21" s="21">
        <v>43.2</v>
      </c>
    </row>
    <row r="22" spans="1:12" x14ac:dyDescent="0.3">
      <c r="A22" s="49">
        <v>0</v>
      </c>
      <c r="B22" s="21" t="s">
        <v>647</v>
      </c>
      <c r="C22" s="21" t="s">
        <v>267</v>
      </c>
      <c r="D22" s="21" t="s">
        <v>278</v>
      </c>
      <c r="E22" s="21">
        <v>111</v>
      </c>
      <c r="F22" s="110">
        <v>28614</v>
      </c>
      <c r="G22" s="21">
        <v>185</v>
      </c>
      <c r="H22" s="258">
        <v>78</v>
      </c>
      <c r="I22" s="258">
        <v>0</v>
      </c>
      <c r="J22" s="258">
        <v>34</v>
      </c>
      <c r="K22" s="258">
        <v>1.3</v>
      </c>
      <c r="L22" s="258">
        <v>35.4</v>
      </c>
    </row>
    <row r="23" spans="1:12" x14ac:dyDescent="0.3">
      <c r="A23" s="49">
        <v>0</v>
      </c>
      <c r="B23" s="21" t="s">
        <v>259</v>
      </c>
      <c r="C23" s="21" t="s">
        <v>271</v>
      </c>
      <c r="D23" s="21" t="s">
        <v>279</v>
      </c>
      <c r="E23" s="21">
        <v>211</v>
      </c>
      <c r="F23" s="110">
        <v>28725</v>
      </c>
      <c r="G23" s="21">
        <v>174</v>
      </c>
      <c r="H23" s="21">
        <v>56</v>
      </c>
      <c r="I23" s="21">
        <v>0</v>
      </c>
      <c r="J23" s="21">
        <v>66</v>
      </c>
      <c r="K23" s="21">
        <v>1.4</v>
      </c>
      <c r="L23" s="21">
        <v>46.9</v>
      </c>
    </row>
    <row r="24" spans="1:12" x14ac:dyDescent="0.3">
      <c r="A24" s="49">
        <v>1</v>
      </c>
      <c r="B24" s="21" t="s">
        <v>649</v>
      </c>
      <c r="C24" s="21" t="s">
        <v>651</v>
      </c>
      <c r="D24" s="21" t="s">
        <v>281</v>
      </c>
      <c r="E24" s="21">
        <v>101</v>
      </c>
      <c r="F24" s="110">
        <v>28271</v>
      </c>
      <c r="G24" s="21">
        <v>152</v>
      </c>
      <c r="H24" s="258">
        <v>65</v>
      </c>
      <c r="I24" s="258">
        <v>1</v>
      </c>
      <c r="J24" s="258">
        <v>29</v>
      </c>
      <c r="K24" s="258">
        <v>1.2</v>
      </c>
      <c r="L24" s="258">
        <v>41.9</v>
      </c>
    </row>
    <row r="25" spans="1:12" x14ac:dyDescent="0.3">
      <c r="A25" s="49">
        <v>0</v>
      </c>
      <c r="B25" s="21" t="s">
        <v>633</v>
      </c>
      <c r="C25" s="21" t="s">
        <v>640</v>
      </c>
      <c r="D25" s="21" t="s">
        <v>277</v>
      </c>
      <c r="E25" s="21">
        <v>101</v>
      </c>
      <c r="F25" s="110">
        <v>28160</v>
      </c>
      <c r="G25" s="21">
        <v>179</v>
      </c>
      <c r="H25" s="258">
        <v>78</v>
      </c>
      <c r="I25" s="21">
        <v>1</v>
      </c>
      <c r="J25" s="21">
        <v>36</v>
      </c>
      <c r="K25" s="21">
        <v>1.4</v>
      </c>
      <c r="L25" s="21">
        <v>54.2</v>
      </c>
    </row>
    <row r="26" spans="1:12" x14ac:dyDescent="0.3">
      <c r="A26" s="49">
        <v>0</v>
      </c>
      <c r="B26" s="21" t="s">
        <v>632</v>
      </c>
      <c r="C26" s="21" t="s">
        <v>268</v>
      </c>
      <c r="D26" s="21" t="s">
        <v>276</v>
      </c>
      <c r="E26" s="21">
        <v>111</v>
      </c>
      <c r="F26" s="110">
        <v>29103</v>
      </c>
      <c r="G26" s="21">
        <v>180</v>
      </c>
      <c r="H26" s="258">
        <v>80</v>
      </c>
      <c r="I26" s="21">
        <v>0</v>
      </c>
      <c r="J26" s="21">
        <v>29</v>
      </c>
      <c r="K26" s="21">
        <v>1.3</v>
      </c>
      <c r="L26" s="21">
        <v>54</v>
      </c>
    </row>
    <row r="27" spans="1:12" x14ac:dyDescent="0.3">
      <c r="A27" s="49">
        <v>0</v>
      </c>
      <c r="B27" s="21" t="s">
        <v>630</v>
      </c>
      <c r="C27" s="21" t="s">
        <v>638</v>
      </c>
      <c r="D27" s="21" t="s">
        <v>277</v>
      </c>
      <c r="E27" s="21">
        <v>201</v>
      </c>
      <c r="F27" s="110">
        <v>26912</v>
      </c>
      <c r="G27" s="21">
        <v>180</v>
      </c>
      <c r="H27" s="258">
        <v>78</v>
      </c>
      <c r="I27" s="21">
        <v>1</v>
      </c>
      <c r="J27" s="21">
        <v>45</v>
      </c>
      <c r="K27" s="21">
        <v>1.4</v>
      </c>
      <c r="L27" s="21">
        <v>67.5</v>
      </c>
    </row>
    <row r="28" spans="1:12" x14ac:dyDescent="0.3">
      <c r="A28" s="49">
        <v>1</v>
      </c>
      <c r="B28" s="21" t="s">
        <v>257</v>
      </c>
      <c r="C28" s="21" t="s">
        <v>269</v>
      </c>
      <c r="D28" s="21" t="s">
        <v>276</v>
      </c>
      <c r="E28" s="21">
        <v>201</v>
      </c>
      <c r="F28" s="110">
        <v>28397</v>
      </c>
      <c r="G28" s="21">
        <v>180</v>
      </c>
      <c r="H28" s="258">
        <v>78</v>
      </c>
      <c r="I28" s="21">
        <v>0</v>
      </c>
      <c r="J28" s="21">
        <v>36</v>
      </c>
      <c r="K28" s="21">
        <v>1.6</v>
      </c>
      <c r="L28" s="21">
        <v>105</v>
      </c>
    </row>
    <row r="29" spans="1:12" x14ac:dyDescent="0.3">
      <c r="A29" s="49">
        <v>0</v>
      </c>
      <c r="B29" s="21" t="s">
        <v>636</v>
      </c>
      <c r="C29" s="21" t="s">
        <v>643</v>
      </c>
      <c r="D29" s="21" t="s">
        <v>279</v>
      </c>
      <c r="E29" s="21">
        <v>211</v>
      </c>
      <c r="F29" s="110">
        <v>28725</v>
      </c>
      <c r="G29" s="21">
        <v>170</v>
      </c>
      <c r="H29" s="21">
        <v>56</v>
      </c>
      <c r="I29" s="21">
        <v>0</v>
      </c>
      <c r="J29" s="21">
        <v>66</v>
      </c>
      <c r="K29" s="21">
        <v>1.4</v>
      </c>
      <c r="L29" s="21">
        <v>46.9</v>
      </c>
    </row>
    <row r="30" spans="1:12" x14ac:dyDescent="0.3">
      <c r="A30" s="49">
        <v>0</v>
      </c>
      <c r="B30" s="21" t="s">
        <v>634</v>
      </c>
      <c r="C30" s="21" t="s">
        <v>641</v>
      </c>
      <c r="D30" s="21" t="s">
        <v>277</v>
      </c>
      <c r="E30" s="21">
        <v>211</v>
      </c>
      <c r="F30" s="110">
        <v>28622</v>
      </c>
      <c r="G30" s="21">
        <v>175</v>
      </c>
      <c r="H30" s="258">
        <v>68</v>
      </c>
      <c r="I30" s="21">
        <v>0</v>
      </c>
      <c r="J30" s="21">
        <v>75</v>
      </c>
      <c r="K30" s="21">
        <v>1.3</v>
      </c>
      <c r="L30" s="21">
        <v>79.2</v>
      </c>
    </row>
    <row r="31" spans="1:12" x14ac:dyDescent="0.3">
      <c r="A31" s="49">
        <v>1</v>
      </c>
      <c r="B31" s="21" t="s">
        <v>627</v>
      </c>
      <c r="C31" s="21" t="s">
        <v>628</v>
      </c>
      <c r="D31" s="21" t="s">
        <v>622</v>
      </c>
      <c r="E31" s="21">
        <v>101</v>
      </c>
      <c r="F31" s="110">
        <v>27895</v>
      </c>
      <c r="G31" s="21">
        <v>178</v>
      </c>
      <c r="H31" s="258">
        <v>72</v>
      </c>
      <c r="I31" s="258">
        <v>1</v>
      </c>
      <c r="J31" s="258">
        <v>30</v>
      </c>
      <c r="K31" s="258">
        <v>1.5</v>
      </c>
      <c r="L31" s="258">
        <v>70.400000000000006</v>
      </c>
    </row>
    <row r="32" spans="1:12" x14ac:dyDescent="0.3">
      <c r="A32" s="49">
        <v>0</v>
      </c>
      <c r="B32" s="21" t="s">
        <v>263</v>
      </c>
      <c r="C32" s="21" t="s">
        <v>275</v>
      </c>
      <c r="D32" s="21" t="s">
        <v>277</v>
      </c>
      <c r="E32" s="21">
        <v>101</v>
      </c>
      <c r="F32" s="110">
        <v>28160</v>
      </c>
      <c r="G32" s="21">
        <v>179</v>
      </c>
      <c r="H32" s="258">
        <v>78</v>
      </c>
      <c r="I32" s="21">
        <v>1</v>
      </c>
      <c r="J32" s="21">
        <v>36</v>
      </c>
      <c r="K32" s="21">
        <v>1.4</v>
      </c>
      <c r="L32" s="21">
        <v>54.2</v>
      </c>
    </row>
    <row r="33" spans="1:12" x14ac:dyDescent="0.3">
      <c r="A33" s="49">
        <v>1</v>
      </c>
      <c r="B33" s="148" t="s">
        <v>257</v>
      </c>
      <c r="C33" s="148" t="s">
        <v>269</v>
      </c>
      <c r="D33" s="148" t="s">
        <v>276</v>
      </c>
      <c r="E33" s="46">
        <v>201</v>
      </c>
      <c r="F33" s="149">
        <v>28397</v>
      </c>
      <c r="G33" s="21">
        <v>180</v>
      </c>
      <c r="H33" s="21">
        <v>78</v>
      </c>
      <c r="I33" s="21">
        <v>0</v>
      </c>
      <c r="J33" s="21">
        <v>36</v>
      </c>
      <c r="K33" s="21">
        <v>1.6</v>
      </c>
      <c r="L33" s="21">
        <v>105</v>
      </c>
    </row>
    <row r="34" spans="1:12" x14ac:dyDescent="0.3">
      <c r="A34" s="49">
        <v>0</v>
      </c>
      <c r="B34" s="148" t="s">
        <v>262</v>
      </c>
      <c r="C34" s="148" t="s">
        <v>274</v>
      </c>
      <c r="D34" s="148" t="s">
        <v>276</v>
      </c>
      <c r="E34" s="46">
        <v>111</v>
      </c>
      <c r="F34" s="149">
        <v>29103</v>
      </c>
      <c r="G34" s="21">
        <v>180</v>
      </c>
      <c r="H34" s="21">
        <v>80</v>
      </c>
      <c r="I34" s="21">
        <v>1</v>
      </c>
      <c r="J34" s="21">
        <v>52</v>
      </c>
      <c r="K34" s="21">
        <v>1.4</v>
      </c>
      <c r="L34" s="21">
        <v>73.7</v>
      </c>
    </row>
    <row r="35" spans="1:12" x14ac:dyDescent="0.3">
      <c r="A35" s="49">
        <v>0</v>
      </c>
      <c r="B35" s="257" t="s">
        <v>379</v>
      </c>
      <c r="C35" s="257" t="s">
        <v>273</v>
      </c>
      <c r="D35" s="21" t="s">
        <v>278</v>
      </c>
      <c r="E35" s="46">
        <v>311</v>
      </c>
      <c r="F35" s="110">
        <v>28197</v>
      </c>
      <c r="G35" s="21">
        <v>182</v>
      </c>
      <c r="H35" s="258">
        <v>55</v>
      </c>
      <c r="I35" s="21">
        <v>1</v>
      </c>
      <c r="J35" s="21">
        <v>64</v>
      </c>
      <c r="K35" s="21">
        <v>1.1000000000000001</v>
      </c>
      <c r="L35" s="21">
        <v>83.2</v>
      </c>
    </row>
    <row r="36" spans="1:12" x14ac:dyDescent="0.3">
      <c r="A36" s="49">
        <v>1</v>
      </c>
      <c r="B36" s="257" t="s">
        <v>385</v>
      </c>
      <c r="C36" s="257" t="s">
        <v>386</v>
      </c>
      <c r="D36" s="21" t="s">
        <v>276</v>
      </c>
      <c r="E36" s="46">
        <v>111</v>
      </c>
      <c r="F36" s="110">
        <v>27496</v>
      </c>
      <c r="G36" s="21">
        <v>178</v>
      </c>
      <c r="H36" s="258">
        <v>69</v>
      </c>
      <c r="I36" s="21">
        <v>0</v>
      </c>
      <c r="J36" s="21">
        <v>75</v>
      </c>
      <c r="K36" s="21">
        <v>1.3</v>
      </c>
      <c r="L36" s="21">
        <v>79.2</v>
      </c>
    </row>
    <row r="37" spans="1:12" x14ac:dyDescent="0.3">
      <c r="A37" s="49">
        <v>1</v>
      </c>
      <c r="B37" s="257" t="s">
        <v>389</v>
      </c>
      <c r="C37" s="257" t="s">
        <v>195</v>
      </c>
      <c r="D37" s="21" t="s">
        <v>276</v>
      </c>
      <c r="E37" s="46">
        <v>211</v>
      </c>
      <c r="F37" s="110">
        <v>26879</v>
      </c>
      <c r="G37" s="21">
        <v>185</v>
      </c>
      <c r="H37" s="21">
        <v>75</v>
      </c>
      <c r="I37" s="21">
        <v>1</v>
      </c>
      <c r="J37" s="21">
        <v>52</v>
      </c>
      <c r="K37" s="21">
        <v>1.4</v>
      </c>
      <c r="L37" s="21">
        <v>73.7</v>
      </c>
    </row>
    <row r="38" spans="1:12" x14ac:dyDescent="0.3">
      <c r="A38" s="49">
        <v>1</v>
      </c>
      <c r="B38" s="257" t="s">
        <v>392</v>
      </c>
      <c r="C38" s="257" t="s">
        <v>393</v>
      </c>
      <c r="D38" s="21" t="s">
        <v>278</v>
      </c>
      <c r="E38" s="46">
        <v>311</v>
      </c>
      <c r="F38" s="110">
        <v>28614</v>
      </c>
      <c r="G38" s="21">
        <v>185</v>
      </c>
      <c r="H38" s="258">
        <v>78</v>
      </c>
      <c r="I38" s="258">
        <v>0</v>
      </c>
      <c r="J38" s="258">
        <v>34</v>
      </c>
      <c r="K38" s="258">
        <v>1.1000000000000001</v>
      </c>
      <c r="L38" s="258">
        <v>54.6</v>
      </c>
    </row>
    <row r="39" spans="1:12" x14ac:dyDescent="0.3">
      <c r="A39" s="49">
        <v>1</v>
      </c>
      <c r="B39" s="257" t="s">
        <v>395</v>
      </c>
      <c r="C39" s="257" t="s">
        <v>266</v>
      </c>
      <c r="D39" s="21" t="s">
        <v>279</v>
      </c>
      <c r="E39" s="46">
        <v>111</v>
      </c>
      <c r="F39" s="110">
        <v>28725</v>
      </c>
      <c r="G39" s="21">
        <v>174</v>
      </c>
      <c r="H39" s="21">
        <v>56</v>
      </c>
      <c r="I39" s="21">
        <v>1</v>
      </c>
      <c r="J39" s="21">
        <v>44</v>
      </c>
      <c r="K39" s="21">
        <v>1.5</v>
      </c>
      <c r="L39" s="21">
        <v>46.4</v>
      </c>
    </row>
    <row r="40" spans="1:12" x14ac:dyDescent="0.3">
      <c r="A40" s="49">
        <v>0</v>
      </c>
      <c r="B40" s="257" t="s">
        <v>397</v>
      </c>
      <c r="C40" s="257" t="s">
        <v>398</v>
      </c>
      <c r="D40" s="21" t="s">
        <v>281</v>
      </c>
      <c r="E40" s="46">
        <v>211</v>
      </c>
      <c r="F40" s="110">
        <v>28271</v>
      </c>
      <c r="G40" s="21">
        <v>152</v>
      </c>
      <c r="H40" s="258">
        <v>65</v>
      </c>
      <c r="I40" s="21">
        <v>0</v>
      </c>
      <c r="J40" s="21">
        <v>31</v>
      </c>
      <c r="K40" s="21">
        <v>1.5</v>
      </c>
      <c r="L40" s="21">
        <v>40.299999999999997</v>
      </c>
    </row>
    <row r="41" spans="1:12" x14ac:dyDescent="0.3">
      <c r="A41" s="49">
        <v>1</v>
      </c>
      <c r="B41" s="257" t="s">
        <v>401</v>
      </c>
      <c r="C41" s="257" t="s">
        <v>195</v>
      </c>
      <c r="D41" s="21" t="s">
        <v>277</v>
      </c>
      <c r="E41" s="46">
        <v>201</v>
      </c>
      <c r="F41" s="110">
        <v>28160</v>
      </c>
      <c r="G41" s="21">
        <v>179</v>
      </c>
      <c r="H41" s="258">
        <v>78</v>
      </c>
      <c r="I41" s="21">
        <v>1</v>
      </c>
      <c r="J41" s="21">
        <v>64</v>
      </c>
      <c r="K41" s="21">
        <v>1.1000000000000001</v>
      </c>
      <c r="L41" s="21">
        <v>83.2</v>
      </c>
    </row>
    <row r="42" spans="1:12" x14ac:dyDescent="0.3">
      <c r="A42" s="49">
        <v>1</v>
      </c>
      <c r="B42" s="257" t="s">
        <v>403</v>
      </c>
      <c r="C42" s="257" t="s">
        <v>404</v>
      </c>
      <c r="D42" s="21" t="s">
        <v>276</v>
      </c>
      <c r="E42" s="46">
        <v>211</v>
      </c>
      <c r="F42" s="110">
        <v>29103</v>
      </c>
      <c r="G42" s="21">
        <v>180</v>
      </c>
      <c r="H42" s="258">
        <v>80</v>
      </c>
      <c r="I42" s="21">
        <v>0</v>
      </c>
      <c r="J42" s="21">
        <v>22</v>
      </c>
      <c r="K42" s="21">
        <v>1.2</v>
      </c>
      <c r="L42" s="21">
        <v>72.8</v>
      </c>
    </row>
    <row r="43" spans="1:12" x14ac:dyDescent="0.3">
      <c r="A43" s="49">
        <v>1</v>
      </c>
      <c r="B43" s="257" t="s">
        <v>407</v>
      </c>
      <c r="C43" s="257" t="s">
        <v>408</v>
      </c>
      <c r="D43" s="21" t="s">
        <v>277</v>
      </c>
      <c r="E43" s="46">
        <v>111</v>
      </c>
      <c r="F43" s="110">
        <v>26912</v>
      </c>
      <c r="G43" s="21">
        <v>180</v>
      </c>
      <c r="H43" s="258">
        <v>78</v>
      </c>
      <c r="I43" s="21">
        <v>0</v>
      </c>
      <c r="J43" s="21">
        <v>31</v>
      </c>
      <c r="K43" s="21">
        <v>1.5</v>
      </c>
      <c r="L43" s="21">
        <v>40.299999999999997</v>
      </c>
    </row>
    <row r="44" spans="1:12" x14ac:dyDescent="0.3">
      <c r="A44" s="49">
        <v>1</v>
      </c>
      <c r="B44" s="257" t="s">
        <v>410</v>
      </c>
      <c r="C44" s="257" t="s">
        <v>195</v>
      </c>
      <c r="D44" s="21" t="s">
        <v>276</v>
      </c>
      <c r="E44" s="46">
        <v>111</v>
      </c>
      <c r="F44" s="110">
        <v>28397</v>
      </c>
      <c r="G44" s="21">
        <v>180</v>
      </c>
      <c r="H44" s="258">
        <v>78</v>
      </c>
      <c r="I44" s="21">
        <v>0</v>
      </c>
      <c r="J44" s="21">
        <v>29</v>
      </c>
      <c r="K44" s="21">
        <v>1.3</v>
      </c>
      <c r="L44" s="21">
        <v>54</v>
      </c>
    </row>
    <row r="45" spans="1:12" x14ac:dyDescent="0.3">
      <c r="A45" s="49">
        <v>1</v>
      </c>
      <c r="B45" s="257" t="s">
        <v>412</v>
      </c>
      <c r="C45" s="257" t="s">
        <v>413</v>
      </c>
      <c r="D45" s="21" t="s">
        <v>279</v>
      </c>
      <c r="E45" s="46">
        <v>201</v>
      </c>
      <c r="F45" s="110">
        <v>28725</v>
      </c>
      <c r="G45" s="21">
        <v>1700</v>
      </c>
      <c r="H45" s="21">
        <v>56</v>
      </c>
      <c r="I45" s="258">
        <v>0</v>
      </c>
      <c r="J45" s="258">
        <v>56</v>
      </c>
      <c r="K45" s="258">
        <v>1.2</v>
      </c>
      <c r="L45" s="258">
        <v>74.2</v>
      </c>
    </row>
    <row r="46" spans="1:12" x14ac:dyDescent="0.3">
      <c r="A46" s="49">
        <v>0</v>
      </c>
      <c r="B46" s="257" t="s">
        <v>415</v>
      </c>
      <c r="C46" s="257" t="s">
        <v>416</v>
      </c>
      <c r="D46" s="21" t="s">
        <v>277</v>
      </c>
      <c r="E46" s="46">
        <v>111</v>
      </c>
      <c r="F46" s="110">
        <v>28622</v>
      </c>
      <c r="G46" s="21">
        <v>175</v>
      </c>
      <c r="H46" s="258">
        <v>68</v>
      </c>
      <c r="I46" s="21">
        <v>1</v>
      </c>
      <c r="J46" s="21">
        <v>36</v>
      </c>
      <c r="K46" s="21">
        <v>1.5</v>
      </c>
      <c r="L46" s="21">
        <v>61.6</v>
      </c>
    </row>
    <row r="47" spans="1:12" x14ac:dyDescent="0.3">
      <c r="A47" s="49">
        <v>1</v>
      </c>
      <c r="B47" s="257" t="s">
        <v>417</v>
      </c>
      <c r="C47" s="257" t="s">
        <v>418</v>
      </c>
      <c r="D47" s="21" t="s">
        <v>622</v>
      </c>
      <c r="E47" s="46">
        <v>311</v>
      </c>
      <c r="F47" s="110">
        <v>27895</v>
      </c>
      <c r="G47" s="21">
        <v>178</v>
      </c>
      <c r="H47" s="258">
        <v>72</v>
      </c>
      <c r="I47" s="21">
        <v>1</v>
      </c>
      <c r="J47" s="21">
        <v>36</v>
      </c>
      <c r="K47" s="21">
        <v>1.5</v>
      </c>
      <c r="L47" s="21">
        <v>61.6</v>
      </c>
    </row>
    <row r="48" spans="1:12" x14ac:dyDescent="0.3">
      <c r="A48" s="49">
        <v>1</v>
      </c>
      <c r="B48" s="257" t="s">
        <v>419</v>
      </c>
      <c r="C48" s="257" t="s">
        <v>386</v>
      </c>
      <c r="D48" s="21" t="s">
        <v>277</v>
      </c>
      <c r="E48" s="46">
        <v>111</v>
      </c>
      <c r="F48" s="110">
        <v>28160</v>
      </c>
      <c r="G48" s="21">
        <v>179</v>
      </c>
      <c r="H48" s="258">
        <v>78</v>
      </c>
      <c r="I48" s="258">
        <v>1</v>
      </c>
      <c r="J48" s="258">
        <v>45</v>
      </c>
      <c r="K48" s="258">
        <v>1.4</v>
      </c>
      <c r="L48" s="258">
        <v>68.2</v>
      </c>
    </row>
    <row r="49" spans="1:12" x14ac:dyDescent="0.3">
      <c r="A49" s="49">
        <v>0</v>
      </c>
      <c r="B49" s="257" t="s">
        <v>420</v>
      </c>
      <c r="C49" s="257" t="s">
        <v>421</v>
      </c>
      <c r="D49" s="21" t="s">
        <v>277</v>
      </c>
      <c r="E49" s="46">
        <v>211</v>
      </c>
      <c r="F49" s="110">
        <v>26879</v>
      </c>
      <c r="G49" s="21">
        <v>185</v>
      </c>
      <c r="H49" s="21">
        <v>75</v>
      </c>
      <c r="I49" s="21">
        <v>0</v>
      </c>
      <c r="J49" s="21">
        <v>36</v>
      </c>
      <c r="K49" s="21">
        <v>1.2</v>
      </c>
      <c r="L49" s="21">
        <v>43.2</v>
      </c>
    </row>
    <row r="50" spans="1:12" x14ac:dyDescent="0.3">
      <c r="A50" s="49">
        <v>1</v>
      </c>
      <c r="B50" s="257" t="s">
        <v>422</v>
      </c>
      <c r="C50" s="257" t="s">
        <v>423</v>
      </c>
      <c r="D50" s="21" t="s">
        <v>277</v>
      </c>
      <c r="E50" s="46">
        <v>311</v>
      </c>
      <c r="F50" s="110">
        <v>28614</v>
      </c>
      <c r="G50" s="21">
        <v>185</v>
      </c>
      <c r="H50" s="258">
        <v>78</v>
      </c>
      <c r="I50" s="258">
        <v>0</v>
      </c>
      <c r="J50" s="258">
        <v>34</v>
      </c>
      <c r="K50" s="258">
        <v>1.3</v>
      </c>
      <c r="L50" s="258">
        <v>35.4</v>
      </c>
    </row>
    <row r="51" spans="1:12" x14ac:dyDescent="0.3">
      <c r="A51" s="49">
        <v>1</v>
      </c>
      <c r="B51" s="257" t="s">
        <v>424</v>
      </c>
      <c r="C51" s="257" t="s">
        <v>425</v>
      </c>
      <c r="D51" s="21" t="s">
        <v>277</v>
      </c>
      <c r="E51" s="46">
        <v>111</v>
      </c>
      <c r="F51" s="110">
        <v>28725</v>
      </c>
      <c r="G51" s="21">
        <v>174</v>
      </c>
      <c r="H51" s="21">
        <v>56</v>
      </c>
      <c r="I51" s="21">
        <v>0</v>
      </c>
      <c r="J51" s="21">
        <v>66</v>
      </c>
      <c r="K51" s="21">
        <v>1.4</v>
      </c>
      <c r="L51" s="21">
        <v>46.9</v>
      </c>
    </row>
    <row r="52" spans="1:12" x14ac:dyDescent="0.3">
      <c r="A52" s="49">
        <v>0</v>
      </c>
      <c r="B52" s="257" t="s">
        <v>426</v>
      </c>
      <c r="C52" s="257" t="s">
        <v>268</v>
      </c>
      <c r="D52" s="21" t="s">
        <v>277</v>
      </c>
      <c r="E52" s="46">
        <v>211</v>
      </c>
      <c r="F52" s="110">
        <v>28271</v>
      </c>
      <c r="G52" s="21">
        <v>152</v>
      </c>
      <c r="H52" s="258">
        <v>65</v>
      </c>
      <c r="I52" s="258">
        <v>1</v>
      </c>
      <c r="J52" s="258">
        <v>29</v>
      </c>
      <c r="K52" s="258">
        <v>1.2</v>
      </c>
      <c r="L52" s="258">
        <v>41.9</v>
      </c>
    </row>
    <row r="53" spans="1:12" x14ac:dyDescent="0.3">
      <c r="A53" s="49">
        <v>1</v>
      </c>
      <c r="B53" s="257" t="s">
        <v>427</v>
      </c>
      <c r="C53" s="257" t="s">
        <v>266</v>
      </c>
      <c r="D53" s="148" t="s">
        <v>279</v>
      </c>
      <c r="E53" s="46">
        <v>201</v>
      </c>
      <c r="F53" s="110">
        <v>28160</v>
      </c>
      <c r="G53" s="21">
        <v>179</v>
      </c>
      <c r="H53" s="258">
        <v>78</v>
      </c>
      <c r="I53" s="21">
        <v>1</v>
      </c>
      <c r="J53" s="21">
        <v>36</v>
      </c>
      <c r="K53" s="21">
        <v>1.4</v>
      </c>
      <c r="L53" s="21">
        <v>54.2</v>
      </c>
    </row>
    <row r="54" spans="1:12" x14ac:dyDescent="0.3">
      <c r="A54" s="49">
        <v>1</v>
      </c>
      <c r="B54" s="257" t="s">
        <v>428</v>
      </c>
      <c r="C54" s="257" t="s">
        <v>429</v>
      </c>
      <c r="D54" s="148" t="s">
        <v>279</v>
      </c>
      <c r="E54" s="46">
        <v>211</v>
      </c>
      <c r="F54" s="110">
        <v>29103</v>
      </c>
      <c r="G54" s="21">
        <v>180</v>
      </c>
      <c r="H54" s="258">
        <v>80</v>
      </c>
      <c r="I54" s="21">
        <v>0</v>
      </c>
      <c r="J54" s="21">
        <v>29</v>
      </c>
      <c r="K54" s="21">
        <v>1.3</v>
      </c>
      <c r="L54" s="21">
        <v>54</v>
      </c>
    </row>
    <row r="55" spans="1:12" x14ac:dyDescent="0.3">
      <c r="A55" s="49">
        <v>1</v>
      </c>
      <c r="B55" s="257" t="s">
        <v>430</v>
      </c>
      <c r="C55" s="257" t="s">
        <v>269</v>
      </c>
      <c r="D55" s="148" t="s">
        <v>277</v>
      </c>
      <c r="E55" s="46">
        <v>111</v>
      </c>
      <c r="F55" s="110">
        <v>26912</v>
      </c>
      <c r="G55" s="21">
        <v>180</v>
      </c>
      <c r="H55" s="258">
        <v>78</v>
      </c>
      <c r="I55" s="21">
        <v>1</v>
      </c>
      <c r="J55" s="21">
        <v>45</v>
      </c>
      <c r="K55" s="21">
        <v>1.4</v>
      </c>
      <c r="L55" s="21">
        <v>67.5</v>
      </c>
    </row>
    <row r="56" spans="1:12" x14ac:dyDescent="0.3">
      <c r="A56" s="49">
        <v>1</v>
      </c>
      <c r="B56" s="257" t="s">
        <v>432</v>
      </c>
      <c r="C56" s="257" t="s">
        <v>386</v>
      </c>
      <c r="D56" s="148" t="s">
        <v>277</v>
      </c>
      <c r="E56" s="46">
        <v>111</v>
      </c>
      <c r="F56" s="149">
        <v>28564</v>
      </c>
      <c r="G56" s="21">
        <v>182</v>
      </c>
      <c r="H56" s="21">
        <v>76</v>
      </c>
      <c r="I56" s="21">
        <v>0</v>
      </c>
      <c r="J56" s="21">
        <v>36</v>
      </c>
      <c r="K56" s="21">
        <v>1.6</v>
      </c>
      <c r="L56" s="21">
        <v>105</v>
      </c>
    </row>
    <row r="57" spans="1:12" x14ac:dyDescent="0.3">
      <c r="A57" s="49">
        <v>0</v>
      </c>
      <c r="B57" s="257" t="s">
        <v>433</v>
      </c>
      <c r="C57" s="257" t="s">
        <v>434</v>
      </c>
      <c r="D57" s="148" t="s">
        <v>277</v>
      </c>
      <c r="E57" s="46">
        <v>201</v>
      </c>
      <c r="F57" s="149">
        <v>28725</v>
      </c>
      <c r="G57" s="21">
        <v>175</v>
      </c>
      <c r="H57" s="21">
        <v>56</v>
      </c>
      <c r="I57" s="21">
        <v>0</v>
      </c>
      <c r="J57" s="21">
        <v>36</v>
      </c>
      <c r="K57" s="21">
        <v>1.6</v>
      </c>
      <c r="L57" s="21">
        <v>105</v>
      </c>
    </row>
    <row r="58" spans="1:12" x14ac:dyDescent="0.3">
      <c r="A58" s="49">
        <v>1</v>
      </c>
      <c r="B58" s="257" t="s">
        <v>435</v>
      </c>
      <c r="C58" s="257" t="s">
        <v>423</v>
      </c>
      <c r="D58" s="148" t="s">
        <v>276</v>
      </c>
      <c r="E58" s="46">
        <v>111</v>
      </c>
      <c r="F58" s="149">
        <v>26912</v>
      </c>
      <c r="G58" s="21">
        <v>180</v>
      </c>
      <c r="H58" s="21">
        <v>78</v>
      </c>
      <c r="I58" s="21">
        <v>1</v>
      </c>
      <c r="J58" s="21">
        <v>52</v>
      </c>
      <c r="K58" s="21">
        <v>1.4</v>
      </c>
      <c r="L58" s="21">
        <v>73.7</v>
      </c>
    </row>
    <row r="59" spans="1:12" x14ac:dyDescent="0.3">
      <c r="A59" s="49">
        <v>1</v>
      </c>
      <c r="B59" s="257" t="s">
        <v>436</v>
      </c>
      <c r="C59" s="257" t="s">
        <v>195</v>
      </c>
      <c r="D59" s="148" t="s">
        <v>276</v>
      </c>
      <c r="E59" s="46">
        <v>311</v>
      </c>
      <c r="F59" s="149">
        <v>28622</v>
      </c>
      <c r="G59" s="21">
        <v>176</v>
      </c>
      <c r="H59" s="21">
        <v>68</v>
      </c>
      <c r="I59" s="21">
        <v>1</v>
      </c>
      <c r="J59" s="21">
        <v>64</v>
      </c>
      <c r="K59" s="21">
        <v>1.1000000000000001</v>
      </c>
      <c r="L59" s="21">
        <v>83.2</v>
      </c>
    </row>
    <row r="60" spans="1:12" x14ac:dyDescent="0.3">
      <c r="A60" s="49">
        <v>1</v>
      </c>
      <c r="B60" s="257" t="s">
        <v>437</v>
      </c>
      <c r="C60" s="257" t="s">
        <v>438</v>
      </c>
      <c r="D60" s="148" t="s">
        <v>276</v>
      </c>
      <c r="E60" s="46">
        <v>111</v>
      </c>
      <c r="F60" s="149">
        <v>28624</v>
      </c>
      <c r="G60" s="21">
        <v>185</v>
      </c>
      <c r="H60" s="21">
        <v>76</v>
      </c>
      <c r="I60" s="21">
        <v>0</v>
      </c>
      <c r="J60" s="21">
        <v>75</v>
      </c>
      <c r="K60" s="21">
        <v>1.3</v>
      </c>
      <c r="L60" s="21">
        <v>79.2</v>
      </c>
    </row>
    <row r="61" spans="1:12" x14ac:dyDescent="0.3">
      <c r="A61" s="49">
        <v>1</v>
      </c>
      <c r="B61" s="257" t="s">
        <v>439</v>
      </c>
      <c r="C61" s="257" t="s">
        <v>440</v>
      </c>
      <c r="D61" s="21" t="s">
        <v>278</v>
      </c>
      <c r="E61" s="46">
        <v>211</v>
      </c>
      <c r="F61" s="149">
        <v>26879</v>
      </c>
      <c r="G61" s="21">
        <v>185</v>
      </c>
      <c r="H61" s="21">
        <v>75</v>
      </c>
      <c r="I61" s="21">
        <v>1</v>
      </c>
      <c r="J61" s="21">
        <v>52</v>
      </c>
      <c r="K61" s="21">
        <v>1.4</v>
      </c>
      <c r="L61" s="21">
        <v>73.7</v>
      </c>
    </row>
    <row r="62" spans="1:12" x14ac:dyDescent="0.3">
      <c r="A62" s="49">
        <v>1</v>
      </c>
      <c r="B62" s="257" t="s">
        <v>441</v>
      </c>
      <c r="C62" s="257" t="s">
        <v>386</v>
      </c>
      <c r="D62" s="21" t="s">
        <v>276</v>
      </c>
      <c r="E62" s="46">
        <v>311</v>
      </c>
      <c r="F62" s="149">
        <v>28397</v>
      </c>
      <c r="G62" s="21">
        <v>180</v>
      </c>
      <c r="H62" s="21">
        <v>78</v>
      </c>
      <c r="I62" s="258">
        <v>0</v>
      </c>
      <c r="J62" s="258">
        <v>34</v>
      </c>
      <c r="K62" s="258">
        <v>1.1000000000000001</v>
      </c>
      <c r="L62" s="258">
        <v>54.6</v>
      </c>
    </row>
    <row r="63" spans="1:12" x14ac:dyDescent="0.3">
      <c r="A63" s="49">
        <v>0</v>
      </c>
      <c r="B63" s="257" t="s">
        <v>442</v>
      </c>
      <c r="C63" s="257" t="s">
        <v>271</v>
      </c>
      <c r="D63" s="21" t="s">
        <v>276</v>
      </c>
      <c r="E63" s="46">
        <v>111</v>
      </c>
      <c r="F63" s="149">
        <v>29103</v>
      </c>
      <c r="G63" s="21">
        <v>180</v>
      </c>
      <c r="H63" s="21">
        <v>80</v>
      </c>
      <c r="I63" s="21">
        <v>1</v>
      </c>
      <c r="J63" s="21">
        <v>44</v>
      </c>
      <c r="K63" s="21">
        <v>1.5</v>
      </c>
      <c r="L63" s="21">
        <v>46.4</v>
      </c>
    </row>
    <row r="64" spans="1:12" x14ac:dyDescent="0.3">
      <c r="A64" s="49">
        <v>1</v>
      </c>
      <c r="B64" s="257" t="s">
        <v>443</v>
      </c>
      <c r="C64" s="257" t="s">
        <v>444</v>
      </c>
      <c r="D64" s="21" t="s">
        <v>278</v>
      </c>
      <c r="E64" s="46">
        <v>211</v>
      </c>
      <c r="F64" s="110">
        <v>28197</v>
      </c>
      <c r="G64" s="21">
        <v>182</v>
      </c>
      <c r="H64" s="258">
        <v>55</v>
      </c>
      <c r="I64" s="21">
        <v>0</v>
      </c>
      <c r="J64" s="21">
        <v>31</v>
      </c>
      <c r="K64" s="21">
        <v>1.5</v>
      </c>
      <c r="L64" s="21">
        <v>40.299999999999997</v>
      </c>
    </row>
    <row r="65" spans="1:12" x14ac:dyDescent="0.3">
      <c r="A65" s="49">
        <v>0</v>
      </c>
      <c r="B65" s="257" t="s">
        <v>445</v>
      </c>
      <c r="C65" s="257" t="s">
        <v>274</v>
      </c>
      <c r="D65" s="21" t="s">
        <v>279</v>
      </c>
      <c r="E65" s="46">
        <v>411</v>
      </c>
      <c r="F65" s="110">
        <v>27496</v>
      </c>
      <c r="G65" s="21">
        <v>178</v>
      </c>
      <c r="H65" s="258">
        <v>69</v>
      </c>
      <c r="I65" s="21">
        <v>1</v>
      </c>
      <c r="J65" s="21">
        <v>64</v>
      </c>
      <c r="K65" s="21">
        <v>1.1000000000000001</v>
      </c>
      <c r="L65" s="21">
        <v>83.2</v>
      </c>
    </row>
    <row r="66" spans="1:12" x14ac:dyDescent="0.3">
      <c r="A66" s="49">
        <v>1</v>
      </c>
      <c r="B66" s="257" t="s">
        <v>446</v>
      </c>
      <c r="C66" s="257" t="s">
        <v>266</v>
      </c>
      <c r="D66" s="21" t="s">
        <v>281</v>
      </c>
      <c r="E66" s="46">
        <v>211</v>
      </c>
      <c r="F66" s="110">
        <v>26879</v>
      </c>
      <c r="G66" s="21">
        <v>185</v>
      </c>
      <c r="H66" s="21">
        <v>75</v>
      </c>
      <c r="I66" s="21">
        <v>0</v>
      </c>
      <c r="J66" s="21">
        <v>22</v>
      </c>
      <c r="K66" s="21">
        <v>1.2</v>
      </c>
      <c r="L66" s="21">
        <v>72.8</v>
      </c>
    </row>
    <row r="67" spans="1:12" x14ac:dyDescent="0.3">
      <c r="A67" s="49">
        <v>1</v>
      </c>
      <c r="B67" s="257" t="s">
        <v>447</v>
      </c>
      <c r="C67" s="257" t="s">
        <v>448</v>
      </c>
      <c r="D67" s="21" t="s">
        <v>277</v>
      </c>
      <c r="E67" s="46">
        <v>111</v>
      </c>
      <c r="F67" s="110">
        <v>28614</v>
      </c>
      <c r="G67" s="21">
        <v>185</v>
      </c>
      <c r="H67" s="258">
        <v>78</v>
      </c>
      <c r="I67" s="21">
        <v>0</v>
      </c>
      <c r="J67" s="21">
        <v>31</v>
      </c>
      <c r="K67" s="21">
        <v>1.5</v>
      </c>
      <c r="L67" s="21">
        <v>40.299999999999997</v>
      </c>
    </row>
    <row r="68" spans="1:12" x14ac:dyDescent="0.3">
      <c r="A68" s="49">
        <v>0</v>
      </c>
      <c r="B68" s="257" t="s">
        <v>449</v>
      </c>
      <c r="C68" s="257" t="s">
        <v>450</v>
      </c>
      <c r="D68" s="21" t="s">
        <v>276</v>
      </c>
      <c r="E68" s="46">
        <v>111</v>
      </c>
      <c r="F68" s="110">
        <v>28725</v>
      </c>
      <c r="G68" s="21">
        <v>174</v>
      </c>
      <c r="H68" s="21">
        <v>56</v>
      </c>
      <c r="I68" s="21">
        <v>0</v>
      </c>
      <c r="J68" s="21">
        <v>29</v>
      </c>
      <c r="K68" s="21">
        <v>1.3</v>
      </c>
      <c r="L68" s="21">
        <v>54</v>
      </c>
    </row>
    <row r="69" spans="1:12" x14ac:dyDescent="0.3">
      <c r="A69" s="49">
        <v>0</v>
      </c>
      <c r="B69" s="257" t="s">
        <v>451</v>
      </c>
      <c r="C69" s="257" t="s">
        <v>416</v>
      </c>
      <c r="D69" s="21" t="s">
        <v>277</v>
      </c>
      <c r="E69" s="46">
        <v>201</v>
      </c>
      <c r="F69" s="110">
        <v>28271</v>
      </c>
      <c r="G69" s="21">
        <v>152</v>
      </c>
      <c r="H69" s="258">
        <v>620</v>
      </c>
      <c r="I69" s="258">
        <v>0</v>
      </c>
      <c r="J69" s="258">
        <v>56</v>
      </c>
      <c r="K69" s="258">
        <v>1.2</v>
      </c>
      <c r="L69" s="258">
        <v>74.2</v>
      </c>
    </row>
    <row r="70" spans="1:12" x14ac:dyDescent="0.3">
      <c r="A70" s="49">
        <v>0</v>
      </c>
      <c r="B70" s="257" t="s">
        <v>452</v>
      </c>
      <c r="C70" s="257" t="s">
        <v>274</v>
      </c>
      <c r="D70" s="21" t="s">
        <v>276</v>
      </c>
      <c r="E70" s="46">
        <v>111</v>
      </c>
      <c r="F70" s="110">
        <v>28160</v>
      </c>
      <c r="G70" s="21">
        <v>179</v>
      </c>
      <c r="H70" s="258">
        <v>78</v>
      </c>
      <c r="I70" s="21">
        <v>1</v>
      </c>
      <c r="J70" s="21">
        <v>36</v>
      </c>
      <c r="K70" s="21">
        <v>1.5</v>
      </c>
      <c r="L70" s="21">
        <v>61.6</v>
      </c>
    </row>
    <row r="71" spans="1:12" x14ac:dyDescent="0.3">
      <c r="A71" s="49">
        <v>1</v>
      </c>
      <c r="B71" s="257" t="s">
        <v>453</v>
      </c>
      <c r="C71" s="257" t="s">
        <v>454</v>
      </c>
      <c r="D71" s="21" t="s">
        <v>279</v>
      </c>
      <c r="E71" s="46">
        <v>311</v>
      </c>
      <c r="F71" s="110">
        <v>29103</v>
      </c>
      <c r="G71" s="21">
        <v>180</v>
      </c>
      <c r="H71" s="258">
        <v>80</v>
      </c>
      <c r="I71" s="21">
        <v>1</v>
      </c>
      <c r="J71" s="21">
        <v>36</v>
      </c>
      <c r="K71" s="21">
        <v>1.5</v>
      </c>
      <c r="L71" s="21">
        <v>61.6</v>
      </c>
    </row>
    <row r="72" spans="1:12" x14ac:dyDescent="0.3">
      <c r="A72" s="49">
        <v>1</v>
      </c>
      <c r="B72" s="257" t="s">
        <v>455</v>
      </c>
      <c r="C72" s="257" t="s">
        <v>456</v>
      </c>
      <c r="D72" s="21" t="s">
        <v>277</v>
      </c>
      <c r="E72" s="46">
        <v>111</v>
      </c>
      <c r="F72" s="110">
        <v>26912</v>
      </c>
      <c r="G72" s="21">
        <v>180</v>
      </c>
      <c r="H72" s="258">
        <v>78</v>
      </c>
      <c r="I72" s="258">
        <v>1</v>
      </c>
      <c r="J72" s="258">
        <v>45</v>
      </c>
      <c r="K72" s="258">
        <v>1.4</v>
      </c>
      <c r="L72" s="258">
        <v>68.2</v>
      </c>
    </row>
    <row r="73" spans="1:12" x14ac:dyDescent="0.3">
      <c r="A73" s="49">
        <v>1</v>
      </c>
      <c r="B73" s="257" t="s">
        <v>457</v>
      </c>
      <c r="C73" s="257" t="s">
        <v>458</v>
      </c>
      <c r="D73" s="21" t="s">
        <v>622</v>
      </c>
      <c r="E73" s="46">
        <v>211</v>
      </c>
      <c r="F73" s="110">
        <v>28397</v>
      </c>
      <c r="G73" s="21">
        <v>180</v>
      </c>
      <c r="H73" s="258">
        <v>78</v>
      </c>
      <c r="I73" s="21">
        <v>0</v>
      </c>
      <c r="J73" s="21">
        <v>36</v>
      </c>
      <c r="K73" s="21">
        <v>1.2</v>
      </c>
      <c r="L73" s="21">
        <v>43.2</v>
      </c>
    </row>
    <row r="74" spans="1:12" x14ac:dyDescent="0.3">
      <c r="A74" s="49">
        <v>1</v>
      </c>
      <c r="B74" s="257" t="s">
        <v>459</v>
      </c>
      <c r="C74" s="257" t="s">
        <v>423</v>
      </c>
      <c r="D74" s="21" t="s">
        <v>277</v>
      </c>
      <c r="E74" s="46">
        <v>311</v>
      </c>
      <c r="F74" s="110">
        <v>28725</v>
      </c>
      <c r="G74" s="21">
        <v>170</v>
      </c>
      <c r="H74" s="21">
        <v>56</v>
      </c>
      <c r="I74" s="258">
        <v>0</v>
      </c>
      <c r="J74" s="258">
        <v>34</v>
      </c>
      <c r="K74" s="258">
        <v>1.3</v>
      </c>
      <c r="L74" s="258">
        <v>35.4</v>
      </c>
    </row>
    <row r="75" spans="1:12" x14ac:dyDescent="0.3">
      <c r="A75" s="49">
        <v>0</v>
      </c>
      <c r="B75" s="257" t="s">
        <v>461</v>
      </c>
      <c r="C75" s="257" t="s">
        <v>462</v>
      </c>
      <c r="D75" s="148" t="s">
        <v>279</v>
      </c>
      <c r="E75" s="46">
        <v>111</v>
      </c>
      <c r="F75" s="110">
        <v>28622</v>
      </c>
      <c r="G75" s="21">
        <v>175</v>
      </c>
      <c r="H75" s="258">
        <v>68</v>
      </c>
      <c r="I75" s="21">
        <v>0</v>
      </c>
      <c r="J75" s="21">
        <v>66</v>
      </c>
      <c r="K75" s="21">
        <v>1.4</v>
      </c>
      <c r="L75" s="21">
        <v>46.9</v>
      </c>
    </row>
    <row r="76" spans="1:12" x14ac:dyDescent="0.3">
      <c r="A76" s="49">
        <v>1</v>
      </c>
      <c r="B76" s="257" t="s">
        <v>463</v>
      </c>
      <c r="C76" s="257" t="s">
        <v>464</v>
      </c>
      <c r="D76" s="148" t="s">
        <v>279</v>
      </c>
      <c r="E76" s="46">
        <v>211</v>
      </c>
      <c r="F76" s="149">
        <v>28564</v>
      </c>
      <c r="G76" s="21">
        <v>182</v>
      </c>
      <c r="H76" s="21">
        <v>76</v>
      </c>
      <c r="I76" s="258">
        <v>1</v>
      </c>
      <c r="J76" s="258">
        <v>29</v>
      </c>
      <c r="K76" s="258">
        <v>1.2</v>
      </c>
      <c r="L76" s="258">
        <v>41.9</v>
      </c>
    </row>
    <row r="77" spans="1:12" x14ac:dyDescent="0.3">
      <c r="A77" s="49">
        <v>0</v>
      </c>
      <c r="B77" s="257" t="s">
        <v>467</v>
      </c>
      <c r="C77" s="257" t="s">
        <v>468</v>
      </c>
      <c r="D77" s="148" t="s">
        <v>277</v>
      </c>
      <c r="E77" s="46">
        <v>201</v>
      </c>
      <c r="F77" s="149">
        <v>28725</v>
      </c>
      <c r="G77" s="21">
        <v>175</v>
      </c>
      <c r="H77" s="21">
        <v>56</v>
      </c>
      <c r="I77" s="21">
        <v>1</v>
      </c>
      <c r="J77" s="21">
        <v>36</v>
      </c>
      <c r="K77" s="21">
        <v>1.4</v>
      </c>
      <c r="L77" s="21">
        <v>54.2</v>
      </c>
    </row>
    <row r="78" spans="1:12" x14ac:dyDescent="0.3">
      <c r="A78" s="49">
        <v>0</v>
      </c>
      <c r="B78" s="257" t="s">
        <v>469</v>
      </c>
      <c r="C78" s="257" t="s">
        <v>470</v>
      </c>
      <c r="D78" s="148" t="s">
        <v>277</v>
      </c>
      <c r="E78" s="46">
        <v>211</v>
      </c>
      <c r="F78" s="149">
        <v>26912</v>
      </c>
      <c r="G78" s="21">
        <v>180</v>
      </c>
      <c r="H78" s="21">
        <v>78</v>
      </c>
      <c r="I78" s="21">
        <v>0</v>
      </c>
      <c r="J78" s="21">
        <v>29</v>
      </c>
      <c r="K78" s="21">
        <v>1.3</v>
      </c>
      <c r="L78" s="21">
        <v>54</v>
      </c>
    </row>
    <row r="79" spans="1:12" x14ac:dyDescent="0.3">
      <c r="A79" s="49">
        <v>0</v>
      </c>
      <c r="B79" s="257" t="s">
        <v>472</v>
      </c>
      <c r="C79" s="257" t="s">
        <v>473</v>
      </c>
      <c r="D79" s="148" t="s">
        <v>277</v>
      </c>
      <c r="E79" s="46">
        <v>111</v>
      </c>
      <c r="F79" s="149">
        <v>28622</v>
      </c>
      <c r="G79" s="21">
        <v>176</v>
      </c>
      <c r="H79" s="21">
        <v>68</v>
      </c>
      <c r="I79" s="21">
        <v>1</v>
      </c>
      <c r="J79" s="21">
        <v>45</v>
      </c>
      <c r="K79" s="21">
        <v>1.4</v>
      </c>
      <c r="L79" s="21">
        <v>67.5</v>
      </c>
    </row>
    <row r="80" spans="1:12" x14ac:dyDescent="0.3">
      <c r="A80" s="49">
        <v>1</v>
      </c>
      <c r="B80" s="257" t="s">
        <v>476</v>
      </c>
      <c r="C80" s="257" t="s">
        <v>386</v>
      </c>
      <c r="D80" s="148" t="s">
        <v>276</v>
      </c>
      <c r="E80" s="46">
        <v>111</v>
      </c>
      <c r="F80" s="149">
        <v>28624</v>
      </c>
      <c r="G80" s="21">
        <v>185</v>
      </c>
      <c r="H80" s="21">
        <v>76</v>
      </c>
      <c r="I80" s="21">
        <v>0</v>
      </c>
      <c r="J80" s="21">
        <v>36</v>
      </c>
      <c r="K80" s="21">
        <v>1.6</v>
      </c>
      <c r="L80" s="21">
        <v>105</v>
      </c>
    </row>
    <row r="81" spans="1:12" x14ac:dyDescent="0.3">
      <c r="A81" s="49">
        <v>1</v>
      </c>
      <c r="B81" s="257" t="s">
        <v>477</v>
      </c>
      <c r="C81" s="257" t="s">
        <v>423</v>
      </c>
      <c r="D81" s="148" t="s">
        <v>276</v>
      </c>
      <c r="E81" s="46">
        <v>201</v>
      </c>
      <c r="F81" s="149">
        <v>26879</v>
      </c>
      <c r="G81" s="21">
        <v>185</v>
      </c>
      <c r="H81" s="21">
        <v>75</v>
      </c>
      <c r="I81" s="21">
        <v>0</v>
      </c>
      <c r="J81" s="21">
        <v>66</v>
      </c>
      <c r="K81" s="21">
        <v>1.4</v>
      </c>
      <c r="L81" s="21">
        <v>46.9</v>
      </c>
    </row>
    <row r="82" spans="1:12" x14ac:dyDescent="0.3">
      <c r="A82" s="49">
        <v>1</v>
      </c>
      <c r="B82" s="257" t="s">
        <v>478</v>
      </c>
      <c r="C82" s="257" t="s">
        <v>195</v>
      </c>
      <c r="D82" s="148" t="s">
        <v>276</v>
      </c>
      <c r="E82" s="46">
        <v>111</v>
      </c>
      <c r="F82" s="149">
        <v>28397</v>
      </c>
      <c r="G82" s="21">
        <v>180</v>
      </c>
      <c r="H82" s="21">
        <v>78</v>
      </c>
      <c r="I82" s="21">
        <v>0</v>
      </c>
      <c r="J82" s="21">
        <v>75</v>
      </c>
      <c r="K82" s="21">
        <v>1.3</v>
      </c>
      <c r="L82" s="21">
        <v>79.2</v>
      </c>
    </row>
    <row r="83" spans="1:12" x14ac:dyDescent="0.3">
      <c r="A83" s="49">
        <v>1</v>
      </c>
      <c r="B83" s="257" t="s">
        <v>479</v>
      </c>
      <c r="C83" s="257" t="s">
        <v>423</v>
      </c>
      <c r="D83" s="21" t="s">
        <v>278</v>
      </c>
      <c r="E83" s="46">
        <v>311</v>
      </c>
      <c r="F83" s="149">
        <v>29103</v>
      </c>
      <c r="G83" s="21">
        <v>180</v>
      </c>
      <c r="H83" s="21">
        <v>80</v>
      </c>
      <c r="I83" s="258">
        <v>1</v>
      </c>
      <c r="J83" s="258">
        <v>30</v>
      </c>
      <c r="K83" s="258">
        <v>1.5</v>
      </c>
      <c r="L83" s="258">
        <v>70.400000000000006</v>
      </c>
    </row>
    <row r="84" spans="1:12" x14ac:dyDescent="0.3">
      <c r="A84" s="49">
        <v>1</v>
      </c>
      <c r="B84" s="257" t="s">
        <v>480</v>
      </c>
      <c r="C84" s="257" t="s">
        <v>195</v>
      </c>
      <c r="D84" s="21" t="s">
        <v>276</v>
      </c>
      <c r="E84" s="46">
        <v>111</v>
      </c>
      <c r="F84" s="110">
        <v>28197</v>
      </c>
      <c r="G84" s="21">
        <v>182</v>
      </c>
      <c r="H84" s="258">
        <v>55</v>
      </c>
      <c r="I84" s="21">
        <v>0</v>
      </c>
      <c r="J84" s="21">
        <v>36</v>
      </c>
      <c r="K84" s="21">
        <v>1.6</v>
      </c>
      <c r="L84" s="21">
        <v>105</v>
      </c>
    </row>
    <row r="85" spans="1:12" x14ac:dyDescent="0.3">
      <c r="A85" s="49">
        <v>1</v>
      </c>
      <c r="B85" s="257" t="s">
        <v>481</v>
      </c>
      <c r="C85" s="257" t="s">
        <v>482</v>
      </c>
      <c r="D85" s="21" t="s">
        <v>276</v>
      </c>
      <c r="E85" s="46">
        <v>211</v>
      </c>
      <c r="F85" s="110">
        <v>27496</v>
      </c>
      <c r="G85" s="21">
        <v>178</v>
      </c>
      <c r="H85" s="258">
        <v>69</v>
      </c>
      <c r="I85" s="21">
        <v>1</v>
      </c>
      <c r="J85" s="21">
        <v>52</v>
      </c>
      <c r="K85" s="21">
        <v>1.4</v>
      </c>
      <c r="L85" s="21">
        <v>73.7</v>
      </c>
    </row>
    <row r="86" spans="1:12" x14ac:dyDescent="0.3">
      <c r="A86" s="49">
        <v>1</v>
      </c>
      <c r="B86" s="257" t="s">
        <v>484</v>
      </c>
      <c r="C86" s="257" t="s">
        <v>485</v>
      </c>
      <c r="D86" s="21" t="s">
        <v>278</v>
      </c>
      <c r="E86" s="46">
        <v>311</v>
      </c>
      <c r="F86" s="110">
        <v>26879</v>
      </c>
      <c r="G86" s="21">
        <v>185</v>
      </c>
      <c r="H86" s="21">
        <v>75</v>
      </c>
      <c r="I86" s="21">
        <v>1</v>
      </c>
      <c r="J86" s="21">
        <v>64</v>
      </c>
      <c r="K86" s="21">
        <v>1.1000000000000001</v>
      </c>
      <c r="L86" s="21">
        <v>83.2</v>
      </c>
    </row>
    <row r="87" spans="1:12" x14ac:dyDescent="0.3">
      <c r="A87" s="49">
        <v>0</v>
      </c>
      <c r="B87" s="257" t="s">
        <v>486</v>
      </c>
      <c r="C87" s="257" t="s">
        <v>271</v>
      </c>
      <c r="D87" s="21" t="s">
        <v>279</v>
      </c>
      <c r="E87" s="46">
        <v>111</v>
      </c>
      <c r="F87" s="110">
        <v>28614</v>
      </c>
      <c r="G87" s="21">
        <v>185</v>
      </c>
      <c r="H87" s="258">
        <v>78</v>
      </c>
      <c r="I87" s="21">
        <v>0</v>
      </c>
      <c r="J87" s="21">
        <v>75</v>
      </c>
      <c r="K87" s="21">
        <v>1.3</v>
      </c>
      <c r="L87" s="21">
        <v>79.2</v>
      </c>
    </row>
    <row r="88" spans="1:12" x14ac:dyDescent="0.3">
      <c r="A88" s="49">
        <v>0</v>
      </c>
      <c r="B88" s="257" t="s">
        <v>487</v>
      </c>
      <c r="C88" s="257" t="s">
        <v>273</v>
      </c>
      <c r="D88" s="21" t="s">
        <v>281</v>
      </c>
      <c r="E88" s="46">
        <v>211</v>
      </c>
      <c r="F88" s="110">
        <v>28725</v>
      </c>
      <c r="G88" s="21">
        <v>174</v>
      </c>
      <c r="H88" s="21">
        <v>56</v>
      </c>
      <c r="I88" s="21">
        <v>1</v>
      </c>
      <c r="J88" s="21">
        <v>52</v>
      </c>
      <c r="K88" s="21">
        <v>1.4</v>
      </c>
      <c r="L88" s="21">
        <v>73.7</v>
      </c>
    </row>
    <row r="89" spans="1:12" x14ac:dyDescent="0.3">
      <c r="A89" s="49">
        <v>1</v>
      </c>
      <c r="B89" s="257" t="s">
        <v>490</v>
      </c>
      <c r="C89" s="257" t="s">
        <v>195</v>
      </c>
      <c r="D89" s="21" t="s">
        <v>277</v>
      </c>
      <c r="E89" s="46">
        <v>201</v>
      </c>
      <c r="F89" s="110">
        <v>28271</v>
      </c>
      <c r="G89" s="21">
        <v>152</v>
      </c>
      <c r="H89" s="258">
        <v>65</v>
      </c>
      <c r="I89" s="258">
        <v>0</v>
      </c>
      <c r="J89" s="258">
        <v>34</v>
      </c>
      <c r="K89" s="258">
        <v>1.1000000000000001</v>
      </c>
      <c r="L89" s="258">
        <v>54.6</v>
      </c>
    </row>
    <row r="90" spans="1:12" x14ac:dyDescent="0.3">
      <c r="A90" s="49">
        <v>0</v>
      </c>
      <c r="B90" s="257" t="s">
        <v>492</v>
      </c>
      <c r="C90" s="257" t="s">
        <v>493</v>
      </c>
      <c r="D90" s="21" t="s">
        <v>276</v>
      </c>
      <c r="E90" s="46">
        <v>211</v>
      </c>
      <c r="F90" s="110">
        <v>28160</v>
      </c>
      <c r="G90" s="21">
        <v>179</v>
      </c>
      <c r="H90" s="258">
        <v>78</v>
      </c>
      <c r="I90" s="21">
        <v>1</v>
      </c>
      <c r="J90" s="21">
        <v>44</v>
      </c>
      <c r="K90" s="21">
        <v>1.5</v>
      </c>
      <c r="L90" s="21">
        <v>46.4</v>
      </c>
    </row>
    <row r="91" spans="1:12" x14ac:dyDescent="0.3">
      <c r="A91" s="49">
        <v>1</v>
      </c>
      <c r="B91" s="257" t="s">
        <v>495</v>
      </c>
      <c r="C91" s="257" t="s">
        <v>269</v>
      </c>
      <c r="D91" s="21" t="s">
        <v>277</v>
      </c>
      <c r="E91" s="46">
        <v>111</v>
      </c>
      <c r="F91" s="110">
        <v>29103</v>
      </c>
      <c r="G91" s="21">
        <v>180</v>
      </c>
      <c r="H91" s="258">
        <v>80</v>
      </c>
      <c r="I91" s="21">
        <v>0</v>
      </c>
      <c r="J91" s="21">
        <v>31</v>
      </c>
      <c r="K91" s="21">
        <v>1.5</v>
      </c>
      <c r="L91" s="21">
        <v>40.299999999999997</v>
      </c>
    </row>
    <row r="92" spans="1:12" x14ac:dyDescent="0.3">
      <c r="A92" s="49">
        <v>1</v>
      </c>
      <c r="B92" s="257" t="s">
        <v>497</v>
      </c>
      <c r="C92" s="257" t="s">
        <v>429</v>
      </c>
      <c r="D92" s="21" t="s">
        <v>276</v>
      </c>
      <c r="E92" s="46">
        <v>111</v>
      </c>
      <c r="F92" s="110">
        <v>26912</v>
      </c>
      <c r="G92" s="21">
        <v>180</v>
      </c>
      <c r="H92" s="258">
        <v>78</v>
      </c>
      <c r="I92" s="21">
        <v>1</v>
      </c>
      <c r="J92" s="21">
        <v>64</v>
      </c>
      <c r="K92" s="21">
        <v>1.1000000000000001</v>
      </c>
      <c r="L92" s="21">
        <v>83.2</v>
      </c>
    </row>
    <row r="93" spans="1:12" x14ac:dyDescent="0.3">
      <c r="A93" s="49">
        <v>0</v>
      </c>
      <c r="B93" s="257" t="s">
        <v>499</v>
      </c>
      <c r="C93" s="257" t="s">
        <v>274</v>
      </c>
      <c r="D93" s="21" t="s">
        <v>279</v>
      </c>
      <c r="E93" s="46">
        <v>201</v>
      </c>
      <c r="F93" s="110">
        <v>28397</v>
      </c>
      <c r="G93" s="21">
        <v>180</v>
      </c>
      <c r="H93" s="258">
        <v>78</v>
      </c>
      <c r="I93" s="21">
        <v>0</v>
      </c>
      <c r="J93" s="21">
        <v>22</v>
      </c>
      <c r="K93" s="21">
        <v>1.2</v>
      </c>
      <c r="L93" s="21">
        <v>72.8</v>
      </c>
    </row>
    <row r="94" spans="1:12" x14ac:dyDescent="0.3">
      <c r="A94" s="49">
        <v>1</v>
      </c>
      <c r="B94" s="257" t="s">
        <v>501</v>
      </c>
      <c r="C94" s="257" t="s">
        <v>201</v>
      </c>
      <c r="D94" s="21" t="s">
        <v>277</v>
      </c>
      <c r="E94" s="46">
        <v>111</v>
      </c>
      <c r="F94" s="110">
        <v>28725</v>
      </c>
      <c r="G94" s="21">
        <v>170</v>
      </c>
      <c r="H94" s="21">
        <v>56</v>
      </c>
      <c r="I94" s="21">
        <v>0</v>
      </c>
      <c r="J94" s="21">
        <v>31</v>
      </c>
      <c r="K94" s="21">
        <v>1.5</v>
      </c>
      <c r="L94" s="21">
        <v>40.299999999999997</v>
      </c>
    </row>
    <row r="95" spans="1:12" x14ac:dyDescent="0.3">
      <c r="A95" s="49">
        <v>1</v>
      </c>
      <c r="B95" s="257" t="s">
        <v>502</v>
      </c>
      <c r="C95" s="257" t="s">
        <v>266</v>
      </c>
      <c r="D95" s="21" t="s">
        <v>622</v>
      </c>
      <c r="E95" s="46">
        <v>311</v>
      </c>
      <c r="F95" s="110">
        <v>28622</v>
      </c>
      <c r="G95" s="21">
        <v>175</v>
      </c>
      <c r="H95" s="258">
        <v>68</v>
      </c>
      <c r="I95" s="21">
        <v>0</v>
      </c>
      <c r="J95" s="21">
        <v>29</v>
      </c>
      <c r="K95" s="21">
        <v>1.3</v>
      </c>
      <c r="L95" s="21">
        <v>54</v>
      </c>
    </row>
    <row r="96" spans="1:12" x14ac:dyDescent="0.3">
      <c r="A96" s="49">
        <v>0</v>
      </c>
      <c r="B96" s="257" t="s">
        <v>504</v>
      </c>
      <c r="C96" s="257" t="s">
        <v>273</v>
      </c>
      <c r="D96" s="148" t="s">
        <v>279</v>
      </c>
      <c r="E96" s="46">
        <v>111</v>
      </c>
      <c r="F96" s="149">
        <v>28564</v>
      </c>
      <c r="G96" s="21">
        <v>182</v>
      </c>
      <c r="H96" s="21">
        <v>76</v>
      </c>
      <c r="I96" s="258">
        <v>0</v>
      </c>
      <c r="J96" s="258">
        <v>56</v>
      </c>
      <c r="K96" s="258">
        <v>1.2</v>
      </c>
      <c r="L96" s="258">
        <v>74.2</v>
      </c>
    </row>
    <row r="97" spans="1:12" x14ac:dyDescent="0.3">
      <c r="A97" s="49">
        <v>1</v>
      </c>
      <c r="B97" s="257" t="s">
        <v>463</v>
      </c>
      <c r="C97" s="257" t="s">
        <v>195</v>
      </c>
      <c r="D97" s="148" t="s">
        <v>279</v>
      </c>
      <c r="E97" s="46">
        <v>211</v>
      </c>
      <c r="F97" s="149">
        <v>28725</v>
      </c>
      <c r="G97" s="21">
        <v>175</v>
      </c>
      <c r="H97" s="21">
        <v>56</v>
      </c>
      <c r="I97" s="21">
        <v>1</v>
      </c>
      <c r="J97" s="21">
        <v>36</v>
      </c>
      <c r="K97" s="21">
        <v>1.5</v>
      </c>
      <c r="L97" s="21">
        <v>61.6</v>
      </c>
    </row>
    <row r="98" spans="1:12" x14ac:dyDescent="0.3">
      <c r="A98" s="49">
        <v>1</v>
      </c>
      <c r="B98" s="257" t="s">
        <v>507</v>
      </c>
      <c r="C98" s="257" t="s">
        <v>448</v>
      </c>
      <c r="D98" s="148" t="s">
        <v>277</v>
      </c>
      <c r="E98" s="46">
        <v>311</v>
      </c>
      <c r="F98" s="149">
        <v>26912</v>
      </c>
      <c r="G98" s="21">
        <v>180</v>
      </c>
      <c r="H98" s="21">
        <v>78</v>
      </c>
      <c r="I98" s="21">
        <v>1</v>
      </c>
      <c r="J98" s="21">
        <v>36</v>
      </c>
      <c r="K98" s="21">
        <v>1.5</v>
      </c>
      <c r="L98" s="21">
        <v>61.6</v>
      </c>
    </row>
    <row r="99" spans="1:12" x14ac:dyDescent="0.3">
      <c r="A99" s="49">
        <v>0</v>
      </c>
      <c r="B99" s="257" t="s">
        <v>508</v>
      </c>
      <c r="C99" s="257" t="s">
        <v>268</v>
      </c>
      <c r="D99" s="148" t="s">
        <v>277</v>
      </c>
      <c r="E99" s="46">
        <v>111</v>
      </c>
      <c r="F99" s="149">
        <v>28622</v>
      </c>
      <c r="G99" s="21">
        <v>176</v>
      </c>
      <c r="H99" s="21">
        <v>68</v>
      </c>
      <c r="I99" s="258">
        <v>1</v>
      </c>
      <c r="J99" s="258">
        <v>45</v>
      </c>
      <c r="K99" s="258">
        <v>1.4</v>
      </c>
      <c r="L99" s="258">
        <v>68.2</v>
      </c>
    </row>
    <row r="100" spans="1:12" x14ac:dyDescent="0.3">
      <c r="A100" s="49">
        <v>0</v>
      </c>
      <c r="B100" s="257" t="s">
        <v>509</v>
      </c>
      <c r="C100" s="257" t="s">
        <v>510</v>
      </c>
      <c r="D100" s="148" t="s">
        <v>277</v>
      </c>
      <c r="E100" s="46">
        <v>211</v>
      </c>
      <c r="F100" s="149">
        <v>28624</v>
      </c>
      <c r="G100" s="21">
        <v>185</v>
      </c>
      <c r="H100" s="21">
        <v>76</v>
      </c>
      <c r="I100" s="21">
        <v>0</v>
      </c>
      <c r="J100" s="21">
        <v>36</v>
      </c>
      <c r="K100" s="21">
        <v>1.2</v>
      </c>
      <c r="L100" s="21">
        <v>43.2</v>
      </c>
    </row>
    <row r="101" spans="1:12" x14ac:dyDescent="0.3">
      <c r="A101" s="49">
        <v>1</v>
      </c>
      <c r="B101" s="257" t="s">
        <v>252</v>
      </c>
      <c r="C101" s="257" t="s">
        <v>195</v>
      </c>
      <c r="D101" s="148" t="s">
        <v>276</v>
      </c>
      <c r="E101" s="46">
        <v>201</v>
      </c>
      <c r="F101" s="149">
        <v>26879</v>
      </c>
      <c r="G101" s="21">
        <v>185</v>
      </c>
      <c r="H101" s="21">
        <v>75</v>
      </c>
      <c r="I101" s="258">
        <v>0</v>
      </c>
      <c r="J101" s="258">
        <v>34</v>
      </c>
      <c r="K101" s="258">
        <v>1.3</v>
      </c>
      <c r="L101" s="258">
        <v>35.4</v>
      </c>
    </row>
    <row r="102" spans="1:12" x14ac:dyDescent="0.3">
      <c r="A102" s="49">
        <v>0</v>
      </c>
      <c r="B102" s="257" t="s">
        <v>512</v>
      </c>
      <c r="C102" s="257" t="s">
        <v>513</v>
      </c>
      <c r="D102" s="148" t="s">
        <v>276</v>
      </c>
      <c r="E102" s="46">
        <v>211</v>
      </c>
      <c r="F102" s="149">
        <v>28397</v>
      </c>
      <c r="G102" s="21">
        <v>180</v>
      </c>
      <c r="H102" s="21">
        <v>78</v>
      </c>
      <c r="I102" s="21">
        <v>0</v>
      </c>
      <c r="J102" s="21">
        <v>66</v>
      </c>
      <c r="K102" s="21">
        <v>1.4</v>
      </c>
      <c r="L102" s="21">
        <v>46.9</v>
      </c>
    </row>
    <row r="103" spans="1:12" x14ac:dyDescent="0.3">
      <c r="A103" s="49">
        <v>1</v>
      </c>
      <c r="B103" s="257" t="s">
        <v>515</v>
      </c>
      <c r="C103" s="257" t="s">
        <v>386</v>
      </c>
      <c r="D103" s="148" t="s">
        <v>276</v>
      </c>
      <c r="E103" s="46">
        <v>111</v>
      </c>
      <c r="F103" s="149">
        <v>29103</v>
      </c>
      <c r="G103" s="21">
        <v>180</v>
      </c>
      <c r="H103" s="21">
        <v>80</v>
      </c>
      <c r="I103" s="258">
        <v>1</v>
      </c>
      <c r="J103" s="258">
        <v>29</v>
      </c>
      <c r="K103" s="258">
        <v>1.2</v>
      </c>
      <c r="L103" s="258">
        <v>41.9</v>
      </c>
    </row>
    <row r="104" spans="1:12" x14ac:dyDescent="0.3">
      <c r="A104" s="49">
        <v>1</v>
      </c>
      <c r="B104" s="257" t="s">
        <v>517</v>
      </c>
      <c r="C104" s="257" t="s">
        <v>518</v>
      </c>
      <c r="D104" s="21" t="s">
        <v>278</v>
      </c>
      <c r="E104" s="46">
        <v>111</v>
      </c>
      <c r="F104" s="110">
        <v>28197</v>
      </c>
      <c r="G104" s="21">
        <v>182</v>
      </c>
      <c r="H104" s="258">
        <v>55</v>
      </c>
      <c r="I104" s="21">
        <v>1</v>
      </c>
      <c r="J104" s="21">
        <v>36</v>
      </c>
      <c r="K104" s="21">
        <v>1.4</v>
      </c>
      <c r="L104" s="21">
        <v>54.2</v>
      </c>
    </row>
    <row r="105" spans="1:12" x14ac:dyDescent="0.3">
      <c r="A105" s="49">
        <v>1</v>
      </c>
      <c r="B105" s="257" t="s">
        <v>519</v>
      </c>
      <c r="C105" s="257" t="s">
        <v>266</v>
      </c>
      <c r="D105" s="21" t="s">
        <v>276</v>
      </c>
      <c r="E105" s="46">
        <v>201</v>
      </c>
      <c r="F105" s="110">
        <v>27496</v>
      </c>
      <c r="G105" s="21">
        <v>178</v>
      </c>
      <c r="H105" s="258">
        <v>69</v>
      </c>
      <c r="I105" s="21">
        <v>0</v>
      </c>
      <c r="J105" s="21">
        <v>29</v>
      </c>
      <c r="K105" s="21">
        <v>1.3</v>
      </c>
      <c r="L105" s="21">
        <v>54</v>
      </c>
    </row>
    <row r="106" spans="1:12" x14ac:dyDescent="0.3">
      <c r="A106" s="49">
        <v>1</v>
      </c>
      <c r="B106" s="257" t="s">
        <v>521</v>
      </c>
      <c r="C106" s="257" t="s">
        <v>386</v>
      </c>
      <c r="D106" s="21" t="s">
        <v>276</v>
      </c>
      <c r="E106" s="46">
        <v>111</v>
      </c>
      <c r="F106" s="110">
        <v>26879</v>
      </c>
      <c r="G106" s="21">
        <v>185</v>
      </c>
      <c r="H106" s="21">
        <v>75</v>
      </c>
      <c r="I106" s="21">
        <v>1</v>
      </c>
      <c r="J106" s="21">
        <v>45</v>
      </c>
      <c r="K106" s="21">
        <v>1.4</v>
      </c>
      <c r="L106" s="21">
        <v>67.5</v>
      </c>
    </row>
    <row r="107" spans="1:12" x14ac:dyDescent="0.3">
      <c r="A107" s="49">
        <v>1</v>
      </c>
      <c r="B107" s="257" t="s">
        <v>522</v>
      </c>
      <c r="C107" s="257" t="s">
        <v>429</v>
      </c>
      <c r="D107" s="21" t="s">
        <v>278</v>
      </c>
      <c r="E107" s="46">
        <v>311</v>
      </c>
      <c r="F107" s="110">
        <v>28614</v>
      </c>
      <c r="G107" s="21">
        <v>185</v>
      </c>
      <c r="H107" s="258">
        <v>78</v>
      </c>
      <c r="I107" s="21">
        <v>0</v>
      </c>
      <c r="J107" s="21">
        <v>36</v>
      </c>
      <c r="K107" s="21">
        <v>1.6</v>
      </c>
      <c r="L107" s="21">
        <v>105</v>
      </c>
    </row>
    <row r="108" spans="1:12" x14ac:dyDescent="0.3">
      <c r="A108" s="49">
        <v>1</v>
      </c>
      <c r="B108" s="257" t="s">
        <v>524</v>
      </c>
      <c r="C108" s="257" t="s">
        <v>525</v>
      </c>
      <c r="D108" s="21" t="s">
        <v>279</v>
      </c>
      <c r="E108" s="46">
        <v>111</v>
      </c>
      <c r="F108" s="110">
        <v>28725</v>
      </c>
      <c r="G108" s="21">
        <v>174</v>
      </c>
      <c r="H108" s="21">
        <v>56</v>
      </c>
      <c r="I108" s="21">
        <v>0</v>
      </c>
      <c r="J108" s="21">
        <v>66</v>
      </c>
      <c r="K108" s="21">
        <v>1.4</v>
      </c>
      <c r="L108" s="21">
        <v>46.9</v>
      </c>
    </row>
    <row r="109" spans="1:12" x14ac:dyDescent="0.3">
      <c r="A109" s="49">
        <v>0</v>
      </c>
      <c r="B109" s="257" t="s">
        <v>526</v>
      </c>
      <c r="C109" s="257" t="s">
        <v>268</v>
      </c>
      <c r="D109" s="21" t="s">
        <v>281</v>
      </c>
      <c r="E109" s="46">
        <v>211</v>
      </c>
      <c r="F109" s="110">
        <v>28271</v>
      </c>
      <c r="G109" s="21">
        <v>152</v>
      </c>
      <c r="H109" s="258">
        <v>65</v>
      </c>
      <c r="I109" s="21">
        <v>0</v>
      </c>
      <c r="J109" s="21">
        <v>75</v>
      </c>
      <c r="K109" s="21">
        <v>1.3</v>
      </c>
      <c r="L109" s="21">
        <v>79.2</v>
      </c>
    </row>
    <row r="110" spans="1:12" x14ac:dyDescent="0.3">
      <c r="A110" s="49">
        <v>1</v>
      </c>
      <c r="B110" s="257" t="s">
        <v>527</v>
      </c>
      <c r="C110" s="257" t="s">
        <v>195</v>
      </c>
      <c r="D110" s="21" t="s">
        <v>277</v>
      </c>
      <c r="E110" s="46">
        <v>311</v>
      </c>
      <c r="F110" s="110">
        <v>28160</v>
      </c>
      <c r="G110" s="21">
        <v>179</v>
      </c>
      <c r="H110" s="258">
        <v>78</v>
      </c>
      <c r="I110" s="21">
        <v>0</v>
      </c>
      <c r="J110" s="21">
        <v>36</v>
      </c>
      <c r="K110" s="21">
        <v>1.6</v>
      </c>
      <c r="L110" s="21">
        <v>105</v>
      </c>
    </row>
    <row r="111" spans="1:12" x14ac:dyDescent="0.3">
      <c r="A111" s="49">
        <v>1</v>
      </c>
      <c r="B111" s="257" t="s">
        <v>529</v>
      </c>
      <c r="C111" s="257" t="s">
        <v>530</v>
      </c>
      <c r="D111" s="21" t="s">
        <v>276</v>
      </c>
      <c r="E111" s="46">
        <v>111</v>
      </c>
      <c r="F111" s="110">
        <v>29103</v>
      </c>
      <c r="G111" s="21">
        <v>180</v>
      </c>
      <c r="H111" s="258">
        <v>80</v>
      </c>
      <c r="I111" s="21">
        <v>1</v>
      </c>
      <c r="J111" s="21">
        <v>52</v>
      </c>
      <c r="K111" s="21">
        <v>1.4</v>
      </c>
      <c r="L111" s="21">
        <v>73.7</v>
      </c>
    </row>
    <row r="112" spans="1:12" x14ac:dyDescent="0.3">
      <c r="A112" s="49">
        <v>1</v>
      </c>
      <c r="B112" s="257" t="s">
        <v>532</v>
      </c>
      <c r="C112" s="257" t="s">
        <v>533</v>
      </c>
      <c r="D112" s="21" t="s">
        <v>277</v>
      </c>
      <c r="E112" s="46">
        <v>211</v>
      </c>
      <c r="F112" s="110">
        <v>26912</v>
      </c>
      <c r="G112" s="21">
        <v>180</v>
      </c>
      <c r="H112" s="258">
        <v>78</v>
      </c>
      <c r="I112" s="21">
        <v>1</v>
      </c>
      <c r="J112" s="21">
        <v>64</v>
      </c>
      <c r="K112" s="21">
        <v>1.1000000000000001</v>
      </c>
      <c r="L112" s="21">
        <v>83.2</v>
      </c>
    </row>
    <row r="113" spans="1:12" x14ac:dyDescent="0.3">
      <c r="A113" s="49">
        <v>0</v>
      </c>
      <c r="B113" s="257" t="s">
        <v>534</v>
      </c>
      <c r="C113" s="257" t="s">
        <v>535</v>
      </c>
      <c r="D113" s="21" t="s">
        <v>276</v>
      </c>
      <c r="E113" s="46">
        <v>201</v>
      </c>
      <c r="F113" s="110">
        <v>28397</v>
      </c>
      <c r="G113" s="21">
        <v>180</v>
      </c>
      <c r="H113" s="258">
        <v>78</v>
      </c>
      <c r="I113" s="21">
        <v>0</v>
      </c>
      <c r="J113" s="21">
        <v>75</v>
      </c>
      <c r="K113" s="21">
        <v>1.3</v>
      </c>
      <c r="L113" s="21">
        <v>79.2</v>
      </c>
    </row>
    <row r="114" spans="1:12" x14ac:dyDescent="0.3">
      <c r="A114" s="49">
        <v>1</v>
      </c>
      <c r="B114" s="257" t="s">
        <v>536</v>
      </c>
      <c r="C114" s="257" t="s">
        <v>485</v>
      </c>
      <c r="D114" s="21" t="s">
        <v>279</v>
      </c>
      <c r="E114" s="46">
        <v>211</v>
      </c>
      <c r="F114" s="110">
        <v>28725</v>
      </c>
      <c r="G114" s="21">
        <v>170</v>
      </c>
      <c r="H114" s="21">
        <v>56</v>
      </c>
      <c r="I114" s="21">
        <v>1</v>
      </c>
      <c r="J114" s="21">
        <v>52</v>
      </c>
      <c r="K114" s="21">
        <v>1.4</v>
      </c>
      <c r="L114" s="21">
        <v>73.7</v>
      </c>
    </row>
    <row r="115" spans="1:12" x14ac:dyDescent="0.3">
      <c r="A115" s="49">
        <v>0</v>
      </c>
      <c r="B115" s="257" t="s">
        <v>537</v>
      </c>
      <c r="C115" s="257" t="s">
        <v>538</v>
      </c>
      <c r="D115" s="21" t="s">
        <v>277</v>
      </c>
      <c r="E115" s="46">
        <v>111</v>
      </c>
      <c r="F115" s="110">
        <v>28622</v>
      </c>
      <c r="G115" s="21">
        <v>175</v>
      </c>
      <c r="H115" s="258">
        <v>68</v>
      </c>
      <c r="I115" s="258">
        <v>0</v>
      </c>
      <c r="J115" s="258">
        <v>34</v>
      </c>
      <c r="K115" s="258">
        <v>1.1000000000000001</v>
      </c>
      <c r="L115" s="258">
        <v>54.6</v>
      </c>
    </row>
    <row r="116" spans="1:12" x14ac:dyDescent="0.3">
      <c r="A116" s="49">
        <v>1</v>
      </c>
      <c r="B116" s="257" t="s">
        <v>540</v>
      </c>
      <c r="C116" s="257" t="s">
        <v>482</v>
      </c>
      <c r="D116" s="21" t="s">
        <v>622</v>
      </c>
      <c r="E116" s="46">
        <v>111</v>
      </c>
      <c r="F116" s="149">
        <v>28564</v>
      </c>
      <c r="G116" s="21">
        <v>182</v>
      </c>
      <c r="H116" s="21">
        <v>76</v>
      </c>
      <c r="I116" s="21">
        <v>1</v>
      </c>
      <c r="J116" s="21">
        <v>44</v>
      </c>
      <c r="K116" s="21">
        <v>1.5</v>
      </c>
      <c r="L116" s="21">
        <v>46.4</v>
      </c>
    </row>
    <row r="117" spans="1:12" x14ac:dyDescent="0.3">
      <c r="A117" s="49">
        <v>1</v>
      </c>
      <c r="B117" s="257" t="s">
        <v>541</v>
      </c>
      <c r="C117" s="257" t="s">
        <v>425</v>
      </c>
      <c r="D117" s="21" t="s">
        <v>277</v>
      </c>
      <c r="E117" s="46">
        <v>201</v>
      </c>
      <c r="F117" s="149">
        <v>28725</v>
      </c>
      <c r="G117" s="21">
        <v>175</v>
      </c>
      <c r="H117" s="21">
        <v>56</v>
      </c>
      <c r="I117" s="21">
        <v>0</v>
      </c>
      <c r="J117" s="21">
        <v>31</v>
      </c>
      <c r="K117" s="21">
        <v>1.5</v>
      </c>
      <c r="L117" s="21">
        <v>40.299999999999997</v>
      </c>
    </row>
    <row r="118" spans="1:12" x14ac:dyDescent="0.3">
      <c r="A118" s="49">
        <v>1</v>
      </c>
      <c r="B118" s="257" t="s">
        <v>542</v>
      </c>
      <c r="C118" s="257" t="s">
        <v>543</v>
      </c>
      <c r="D118" s="148" t="s">
        <v>279</v>
      </c>
      <c r="E118" s="46">
        <v>111</v>
      </c>
      <c r="F118" s="149">
        <v>26912</v>
      </c>
      <c r="G118" s="21">
        <v>180</v>
      </c>
      <c r="H118" s="21">
        <v>78</v>
      </c>
      <c r="I118" s="21">
        <v>1</v>
      </c>
      <c r="J118" s="21">
        <v>64</v>
      </c>
      <c r="K118" s="21">
        <v>1.1000000000000001</v>
      </c>
      <c r="L118" s="21">
        <v>83.2</v>
      </c>
    </row>
    <row r="119" spans="1:12" x14ac:dyDescent="0.3">
      <c r="A119" s="49">
        <v>1</v>
      </c>
      <c r="B119" s="257" t="s">
        <v>545</v>
      </c>
      <c r="C119" s="257" t="s">
        <v>201</v>
      </c>
      <c r="D119" s="148" t="s">
        <v>279</v>
      </c>
      <c r="E119" s="46">
        <v>555</v>
      </c>
      <c r="F119" s="149">
        <v>28622</v>
      </c>
      <c r="G119" s="21">
        <v>176</v>
      </c>
      <c r="H119" s="21">
        <v>68</v>
      </c>
      <c r="I119" s="21">
        <v>0</v>
      </c>
      <c r="J119" s="21">
        <v>22</v>
      </c>
      <c r="K119" s="21">
        <v>1.2</v>
      </c>
      <c r="L119" s="21">
        <v>72.8</v>
      </c>
    </row>
    <row r="120" spans="1:12" x14ac:dyDescent="0.3">
      <c r="A120" s="49">
        <v>1</v>
      </c>
      <c r="B120" s="257" t="s">
        <v>547</v>
      </c>
      <c r="C120" s="257" t="s">
        <v>548</v>
      </c>
      <c r="D120" s="148" t="s">
        <v>277</v>
      </c>
      <c r="E120" s="46">
        <v>111</v>
      </c>
      <c r="F120" s="149">
        <v>28624</v>
      </c>
      <c r="G120" s="21">
        <v>185</v>
      </c>
      <c r="H120" s="21">
        <v>76</v>
      </c>
      <c r="I120" s="21">
        <v>0</v>
      </c>
      <c r="J120" s="21">
        <v>31</v>
      </c>
      <c r="K120" s="21">
        <v>1.5</v>
      </c>
      <c r="L120" s="21">
        <v>40.299999999999997</v>
      </c>
    </row>
    <row r="121" spans="1:12" x14ac:dyDescent="0.3">
      <c r="A121" s="49">
        <v>1</v>
      </c>
      <c r="B121" s="257" t="s">
        <v>549</v>
      </c>
      <c r="C121" s="257" t="s">
        <v>550</v>
      </c>
      <c r="D121" s="148" t="s">
        <v>277</v>
      </c>
      <c r="E121" s="46">
        <v>211</v>
      </c>
      <c r="F121" s="149">
        <v>26879</v>
      </c>
      <c r="G121" s="21">
        <v>185</v>
      </c>
      <c r="H121" s="21">
        <v>75</v>
      </c>
      <c r="I121" s="21">
        <v>0</v>
      </c>
      <c r="J121" s="21">
        <v>29</v>
      </c>
      <c r="K121" s="21">
        <v>1.3</v>
      </c>
      <c r="L121" s="21">
        <v>54</v>
      </c>
    </row>
    <row r="122" spans="1:12" x14ac:dyDescent="0.3">
      <c r="A122" s="49">
        <v>1</v>
      </c>
      <c r="B122" s="257" t="s">
        <v>551</v>
      </c>
      <c r="C122" s="257" t="s">
        <v>533</v>
      </c>
      <c r="D122" s="148" t="s">
        <v>277</v>
      </c>
      <c r="E122" s="46">
        <v>311</v>
      </c>
      <c r="F122" s="149">
        <v>28397</v>
      </c>
      <c r="G122" s="21">
        <v>180</v>
      </c>
      <c r="H122" s="21">
        <v>78</v>
      </c>
      <c r="I122" s="258">
        <v>0</v>
      </c>
      <c r="J122" s="258">
        <v>56</v>
      </c>
      <c r="K122" s="258">
        <v>1.2</v>
      </c>
      <c r="L122" s="258">
        <v>74.2</v>
      </c>
    </row>
    <row r="123" spans="1:12" x14ac:dyDescent="0.3">
      <c r="A123" s="49">
        <v>1</v>
      </c>
      <c r="B123" s="257" t="s">
        <v>552</v>
      </c>
      <c r="C123" s="257" t="s">
        <v>195</v>
      </c>
      <c r="D123" s="148" t="s">
        <v>276</v>
      </c>
      <c r="E123" s="46">
        <v>111</v>
      </c>
      <c r="F123" s="149">
        <v>29103</v>
      </c>
      <c r="G123" s="21">
        <v>180</v>
      </c>
      <c r="H123" s="21">
        <v>80</v>
      </c>
      <c r="I123" s="21">
        <v>1</v>
      </c>
      <c r="J123" s="21">
        <v>36</v>
      </c>
      <c r="K123" s="21">
        <v>1.5</v>
      </c>
      <c r="L123" s="21">
        <v>61.6</v>
      </c>
    </row>
    <row r="124" spans="1:12" x14ac:dyDescent="0.3">
      <c r="A124" s="49">
        <v>1</v>
      </c>
      <c r="B124" s="257" t="s">
        <v>554</v>
      </c>
      <c r="C124" s="257" t="s">
        <v>464</v>
      </c>
      <c r="D124" s="148" t="s">
        <v>276</v>
      </c>
      <c r="E124" s="46">
        <v>211</v>
      </c>
      <c r="F124" s="110">
        <v>28197</v>
      </c>
      <c r="G124" s="21">
        <v>182</v>
      </c>
      <c r="H124" s="258">
        <v>55</v>
      </c>
      <c r="I124" s="21">
        <v>1</v>
      </c>
      <c r="J124" s="21">
        <v>36</v>
      </c>
      <c r="K124" s="21">
        <v>1.5</v>
      </c>
      <c r="L124" s="21">
        <v>61.6</v>
      </c>
    </row>
    <row r="125" spans="1:12" x14ac:dyDescent="0.3">
      <c r="A125" s="49">
        <v>0</v>
      </c>
      <c r="B125" s="257" t="s">
        <v>556</v>
      </c>
      <c r="C125" s="257" t="s">
        <v>513</v>
      </c>
      <c r="D125" s="148" t="s">
        <v>276</v>
      </c>
      <c r="E125" s="46">
        <v>201</v>
      </c>
      <c r="F125" s="110">
        <v>27496</v>
      </c>
      <c r="G125" s="21">
        <v>178</v>
      </c>
      <c r="H125" s="258">
        <v>69</v>
      </c>
      <c r="I125" s="258">
        <v>1</v>
      </c>
      <c r="J125" s="258">
        <v>45</v>
      </c>
      <c r="K125" s="258">
        <v>1.4</v>
      </c>
      <c r="L125" s="258">
        <v>68.2</v>
      </c>
    </row>
    <row r="126" spans="1:12" x14ac:dyDescent="0.3">
      <c r="A126" s="49">
        <v>1</v>
      </c>
      <c r="B126" s="257" t="s">
        <v>557</v>
      </c>
      <c r="C126" s="257" t="s">
        <v>485</v>
      </c>
      <c r="D126" s="21" t="s">
        <v>278</v>
      </c>
      <c r="E126" s="46">
        <v>211</v>
      </c>
      <c r="F126" s="110">
        <v>26879</v>
      </c>
      <c r="G126" s="21">
        <v>185</v>
      </c>
      <c r="H126" s="21">
        <v>75</v>
      </c>
      <c r="I126" s="21">
        <v>0</v>
      </c>
      <c r="J126" s="21">
        <v>36</v>
      </c>
      <c r="K126" s="21">
        <v>1.2</v>
      </c>
      <c r="L126" s="21">
        <v>43.2</v>
      </c>
    </row>
    <row r="127" spans="1:12" ht="15" thickBot="1" x14ac:dyDescent="0.35">
      <c r="A127" s="265">
        <v>1</v>
      </c>
      <c r="B127" s="261" t="s">
        <v>558</v>
      </c>
      <c r="C127" s="261" t="s">
        <v>559</v>
      </c>
      <c r="D127" s="260" t="s">
        <v>276</v>
      </c>
      <c r="E127" s="267">
        <v>111</v>
      </c>
      <c r="F127" s="263">
        <v>28614</v>
      </c>
      <c r="G127" s="260">
        <v>185</v>
      </c>
      <c r="H127" s="264">
        <v>78</v>
      </c>
      <c r="I127" s="264">
        <v>0</v>
      </c>
      <c r="J127" s="264">
        <v>34</v>
      </c>
      <c r="K127" s="264">
        <v>1.3</v>
      </c>
      <c r="L127" s="264">
        <v>35.4</v>
      </c>
    </row>
    <row r="128" spans="1:12" x14ac:dyDescent="0.3">
      <c r="F128" s="28"/>
      <c r="H128" s="141"/>
    </row>
    <row r="129" spans="1:12" ht="86.25" customHeight="1" x14ac:dyDescent="0.3">
      <c r="A129" s="301" t="s">
        <v>1171</v>
      </c>
      <c r="B129" s="301"/>
      <c r="C129" s="301"/>
      <c r="D129" s="301"/>
      <c r="E129" s="301"/>
      <c r="F129" s="301"/>
      <c r="G129" s="301"/>
      <c r="H129" s="301"/>
      <c r="I129" s="301"/>
      <c r="J129" s="301"/>
      <c r="K129" s="301"/>
      <c r="L129" s="301"/>
    </row>
  </sheetData>
  <mergeCells count="1">
    <mergeCell ref="A129:L129"/>
  </mergeCells>
  <dataValidations disablePrompts="1" count="3">
    <dataValidation type="list" allowBlank="1" showInputMessage="1" showErrorMessage="1" sqref="E4:E32 E128">
      <formula1>"101,111,201,211,311"</formula1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4:G32 G128">
      <formula1>150</formula1>
      <formula2>190</formula2>
    </dataValidation>
    <dataValidation type="whole" allowBlank="1" showInputMessage="1" showErrorMessage="1" sqref="H4:H32 H128">
      <formula1>50</formula1>
      <formula2>100</formula2>
    </dataValidation>
  </dataValidations>
  <hyperlinks>
    <hyperlink ref="O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rgb="FF92D050"/>
  </sheetPr>
  <dimension ref="A1:O132"/>
  <sheetViews>
    <sheetView topLeftCell="A133" workbookViewId="0">
      <selection activeCell="M1" sqref="M1"/>
    </sheetView>
  </sheetViews>
  <sheetFormatPr defaultRowHeight="14.4" x14ac:dyDescent="0.3"/>
  <cols>
    <col min="1" max="1" width="9.109375" style="203"/>
    <col min="2" max="2" width="15.44140625" customWidth="1"/>
    <col min="3" max="3" width="12" customWidth="1"/>
    <col min="6" max="6" width="12.6640625" customWidth="1"/>
  </cols>
  <sheetData>
    <row r="1" spans="1:15" ht="21" x14ac:dyDescent="0.4">
      <c r="A1" s="266" t="s">
        <v>284</v>
      </c>
      <c r="O1" s="182" t="s">
        <v>1148</v>
      </c>
    </row>
    <row r="2" spans="1:15" ht="15" thickBot="1" x14ac:dyDescent="0.35"/>
    <row r="3" spans="1:15" ht="15" thickBot="1" x14ac:dyDescent="0.35">
      <c r="A3" s="268" t="s">
        <v>243</v>
      </c>
      <c r="B3" s="269" t="s">
        <v>178</v>
      </c>
      <c r="C3" s="269" t="s">
        <v>244</v>
      </c>
      <c r="D3" s="269" t="s">
        <v>245</v>
      </c>
      <c r="E3" s="269" t="s">
        <v>246</v>
      </c>
      <c r="F3" s="269" t="s">
        <v>1</v>
      </c>
      <c r="G3" s="269" t="s">
        <v>247</v>
      </c>
      <c r="H3" s="269" t="s">
        <v>248</v>
      </c>
      <c r="I3" s="269" t="s">
        <v>249</v>
      </c>
      <c r="J3" s="269" t="s">
        <v>250</v>
      </c>
      <c r="K3" s="269" t="s">
        <v>282</v>
      </c>
      <c r="L3" s="269" t="s">
        <v>251</v>
      </c>
    </row>
    <row r="4" spans="1:15" x14ac:dyDescent="0.3">
      <c r="A4" s="203">
        <v>0</v>
      </c>
      <c r="B4" t="s">
        <v>253</v>
      </c>
      <c r="C4" t="s">
        <v>264</v>
      </c>
      <c r="D4" t="s">
        <v>277</v>
      </c>
      <c r="E4">
        <v>201</v>
      </c>
      <c r="F4" s="28">
        <v>26912</v>
      </c>
      <c r="G4">
        <v>180</v>
      </c>
      <c r="H4" s="141">
        <v>78</v>
      </c>
      <c r="I4">
        <v>1</v>
      </c>
      <c r="J4">
        <v>45</v>
      </c>
      <c r="K4">
        <v>1.4</v>
      </c>
      <c r="L4">
        <v>67.5</v>
      </c>
    </row>
    <row r="5" spans="1:15" x14ac:dyDescent="0.3">
      <c r="A5" s="49">
        <v>1</v>
      </c>
      <c r="B5" s="21" t="s">
        <v>631</v>
      </c>
      <c r="C5" s="21" t="s">
        <v>639</v>
      </c>
      <c r="D5" s="21" t="s">
        <v>276</v>
      </c>
      <c r="E5" s="21">
        <v>201</v>
      </c>
      <c r="F5" s="110">
        <v>28397</v>
      </c>
      <c r="G5" s="21">
        <v>180</v>
      </c>
      <c r="H5" s="258">
        <v>78</v>
      </c>
      <c r="I5" s="21">
        <v>0</v>
      </c>
      <c r="J5" s="21">
        <v>36</v>
      </c>
      <c r="K5" s="21">
        <v>1.6</v>
      </c>
      <c r="L5" s="21">
        <v>105</v>
      </c>
    </row>
    <row r="6" spans="1:15" x14ac:dyDescent="0.3">
      <c r="A6" s="49">
        <v>0</v>
      </c>
      <c r="B6" s="21" t="s">
        <v>186</v>
      </c>
      <c r="C6" s="21" t="s">
        <v>267</v>
      </c>
      <c r="D6" s="21" t="s">
        <v>280</v>
      </c>
      <c r="E6" s="21">
        <v>111</v>
      </c>
      <c r="F6" s="110">
        <v>28382</v>
      </c>
      <c r="G6" s="21">
        <v>164</v>
      </c>
      <c r="H6" s="21">
        <v>65</v>
      </c>
      <c r="I6" s="21">
        <v>1</v>
      </c>
      <c r="J6" s="21">
        <v>52</v>
      </c>
      <c r="K6" s="21">
        <v>1.4</v>
      </c>
      <c r="L6" s="21">
        <v>73.7</v>
      </c>
    </row>
    <row r="7" spans="1:15" x14ac:dyDescent="0.3">
      <c r="A7" s="49">
        <v>0</v>
      </c>
      <c r="B7" s="21" t="s">
        <v>256</v>
      </c>
      <c r="C7" s="21" t="s">
        <v>268</v>
      </c>
      <c r="D7" s="21" t="s">
        <v>281</v>
      </c>
      <c r="E7" s="21">
        <v>311</v>
      </c>
      <c r="F7" s="110">
        <v>28697</v>
      </c>
      <c r="G7" s="21">
        <v>182</v>
      </c>
      <c r="H7" s="258">
        <v>54</v>
      </c>
      <c r="I7" s="21">
        <v>1</v>
      </c>
      <c r="J7" s="21">
        <v>64</v>
      </c>
      <c r="K7" s="21">
        <v>1.1000000000000001</v>
      </c>
      <c r="L7" s="21">
        <v>83.2</v>
      </c>
    </row>
    <row r="8" spans="1:15" x14ac:dyDescent="0.3">
      <c r="A8" s="49">
        <v>0</v>
      </c>
      <c r="B8" s="21" t="s">
        <v>258</v>
      </c>
      <c r="C8" s="21" t="s">
        <v>270</v>
      </c>
      <c r="D8" s="21" t="s">
        <v>277</v>
      </c>
      <c r="E8" s="21">
        <v>211</v>
      </c>
      <c r="F8" s="110">
        <v>28622</v>
      </c>
      <c r="G8" s="21">
        <v>176</v>
      </c>
      <c r="H8" s="258">
        <v>68</v>
      </c>
      <c r="I8" s="21">
        <v>0</v>
      </c>
      <c r="J8" s="21">
        <v>75</v>
      </c>
      <c r="K8" s="21">
        <v>1.3</v>
      </c>
      <c r="L8" s="21">
        <v>79.2</v>
      </c>
    </row>
    <row r="9" spans="1:15" x14ac:dyDescent="0.3">
      <c r="A9" s="49">
        <v>0</v>
      </c>
      <c r="B9" s="21" t="s">
        <v>637</v>
      </c>
      <c r="C9" s="21" t="s">
        <v>644</v>
      </c>
      <c r="D9" s="21" t="s">
        <v>280</v>
      </c>
      <c r="E9" s="21">
        <v>111</v>
      </c>
      <c r="F9" s="110">
        <v>28382</v>
      </c>
      <c r="G9" s="21">
        <v>165</v>
      </c>
      <c r="H9" s="21">
        <v>65</v>
      </c>
      <c r="I9" s="21">
        <v>1</v>
      </c>
      <c r="J9" s="21">
        <v>52</v>
      </c>
      <c r="K9" s="21">
        <v>1.4</v>
      </c>
      <c r="L9" s="21">
        <v>73.7</v>
      </c>
    </row>
    <row r="10" spans="1:15" x14ac:dyDescent="0.3">
      <c r="A10" s="49">
        <v>1</v>
      </c>
      <c r="B10" s="21" t="s">
        <v>645</v>
      </c>
      <c r="C10" s="21" t="s">
        <v>266</v>
      </c>
      <c r="D10" s="21" t="s">
        <v>278</v>
      </c>
      <c r="E10" s="21">
        <v>101</v>
      </c>
      <c r="F10" s="110">
        <v>28403</v>
      </c>
      <c r="G10" s="21">
        <v>154</v>
      </c>
      <c r="H10" s="258">
        <v>56</v>
      </c>
      <c r="I10" s="258">
        <v>0</v>
      </c>
      <c r="J10" s="258">
        <v>34</v>
      </c>
      <c r="K10" s="258">
        <v>1.1000000000000001</v>
      </c>
      <c r="L10" s="258">
        <v>54.6</v>
      </c>
    </row>
    <row r="11" spans="1:15" x14ac:dyDescent="0.3">
      <c r="A11" s="49">
        <v>0</v>
      </c>
      <c r="B11" s="21" t="s">
        <v>261</v>
      </c>
      <c r="C11" s="21" t="s">
        <v>273</v>
      </c>
      <c r="D11" s="21" t="s">
        <v>277</v>
      </c>
      <c r="E11" s="21">
        <v>111</v>
      </c>
      <c r="F11" s="110">
        <v>28624</v>
      </c>
      <c r="G11" s="21">
        <v>185</v>
      </c>
      <c r="H11" s="258">
        <v>76</v>
      </c>
      <c r="I11" s="21">
        <v>1</v>
      </c>
      <c r="J11" s="21">
        <v>44</v>
      </c>
      <c r="K11" s="21">
        <v>1.5</v>
      </c>
      <c r="L11" s="21">
        <v>46.4</v>
      </c>
    </row>
    <row r="12" spans="1:15" x14ac:dyDescent="0.3">
      <c r="A12" s="49">
        <v>0</v>
      </c>
      <c r="B12" s="21" t="s">
        <v>635</v>
      </c>
      <c r="C12" s="21" t="s">
        <v>642</v>
      </c>
      <c r="D12" s="21" t="s">
        <v>278</v>
      </c>
      <c r="E12" s="21">
        <v>211</v>
      </c>
      <c r="F12" s="110">
        <v>28527</v>
      </c>
      <c r="G12" s="21">
        <v>168</v>
      </c>
      <c r="H12" s="21">
        <v>86</v>
      </c>
      <c r="I12" s="21">
        <v>0</v>
      </c>
      <c r="J12" s="21">
        <v>31</v>
      </c>
      <c r="K12" s="21">
        <v>1.5</v>
      </c>
      <c r="L12" s="21">
        <v>40.299999999999997</v>
      </c>
    </row>
    <row r="13" spans="1:15" x14ac:dyDescent="0.3">
      <c r="A13" s="49">
        <v>0</v>
      </c>
      <c r="B13" s="21" t="s">
        <v>626</v>
      </c>
      <c r="C13" s="21" t="s">
        <v>416</v>
      </c>
      <c r="D13" s="21" t="s">
        <v>281</v>
      </c>
      <c r="E13" s="21">
        <v>311</v>
      </c>
      <c r="F13" s="110">
        <v>28697</v>
      </c>
      <c r="G13" s="21">
        <v>182</v>
      </c>
      <c r="H13" s="258">
        <v>54</v>
      </c>
      <c r="I13" s="21">
        <v>1</v>
      </c>
      <c r="J13" s="21">
        <v>64</v>
      </c>
      <c r="K13" s="21">
        <v>1.1000000000000001</v>
      </c>
      <c r="L13" s="21">
        <v>83.2</v>
      </c>
    </row>
    <row r="14" spans="1:15" x14ac:dyDescent="0.3">
      <c r="A14" s="49">
        <v>1</v>
      </c>
      <c r="B14" s="21" t="s">
        <v>254</v>
      </c>
      <c r="C14" s="21" t="s">
        <v>266</v>
      </c>
      <c r="D14" s="21" t="s">
        <v>279</v>
      </c>
      <c r="E14" s="21">
        <v>111</v>
      </c>
      <c r="F14" s="110">
        <v>28564</v>
      </c>
      <c r="G14" s="21">
        <v>182</v>
      </c>
      <c r="H14" s="258">
        <v>76</v>
      </c>
      <c r="I14" s="21">
        <v>0</v>
      </c>
      <c r="J14" s="21">
        <v>22</v>
      </c>
      <c r="K14" s="21">
        <v>1.2</v>
      </c>
      <c r="L14" s="21">
        <v>72.8</v>
      </c>
    </row>
    <row r="15" spans="1:15" x14ac:dyDescent="0.3">
      <c r="A15" s="49">
        <v>0</v>
      </c>
      <c r="B15" s="21" t="s">
        <v>255</v>
      </c>
      <c r="C15" s="21" t="s">
        <v>265</v>
      </c>
      <c r="D15" s="21" t="s">
        <v>278</v>
      </c>
      <c r="E15" s="21">
        <v>211</v>
      </c>
      <c r="F15" s="110">
        <v>28527</v>
      </c>
      <c r="G15" s="21">
        <v>172</v>
      </c>
      <c r="H15" s="21">
        <v>86</v>
      </c>
      <c r="I15" s="21">
        <v>0</v>
      </c>
      <c r="J15" s="21">
        <v>31</v>
      </c>
      <c r="K15" s="21">
        <v>1.5</v>
      </c>
      <c r="L15" s="21">
        <v>40.299999999999997</v>
      </c>
    </row>
    <row r="16" spans="1:15" x14ac:dyDescent="0.3">
      <c r="A16" s="49">
        <v>0</v>
      </c>
      <c r="B16" s="21" t="s">
        <v>262</v>
      </c>
      <c r="C16" s="21" t="s">
        <v>274</v>
      </c>
      <c r="D16" s="21" t="s">
        <v>276</v>
      </c>
      <c r="E16" s="21">
        <v>111</v>
      </c>
      <c r="F16" s="110">
        <v>29103</v>
      </c>
      <c r="G16" s="21">
        <v>180</v>
      </c>
      <c r="H16" s="258">
        <v>80</v>
      </c>
      <c r="I16" s="21">
        <v>0</v>
      </c>
      <c r="J16" s="21">
        <v>29</v>
      </c>
      <c r="K16" s="21">
        <v>1.3</v>
      </c>
      <c r="L16" s="21">
        <v>54</v>
      </c>
    </row>
    <row r="17" spans="1:12" x14ac:dyDescent="0.3">
      <c r="A17" s="49">
        <v>1</v>
      </c>
      <c r="B17" s="21" t="s">
        <v>646</v>
      </c>
      <c r="C17" s="21" t="s">
        <v>550</v>
      </c>
      <c r="D17" s="21" t="s">
        <v>279</v>
      </c>
      <c r="E17" s="21">
        <v>201</v>
      </c>
      <c r="F17" s="110">
        <v>28743</v>
      </c>
      <c r="G17" s="21">
        <v>156</v>
      </c>
      <c r="H17" s="258">
        <v>51</v>
      </c>
      <c r="I17" s="258">
        <v>0</v>
      </c>
      <c r="J17" s="258">
        <v>56</v>
      </c>
      <c r="K17" s="258">
        <v>1.2</v>
      </c>
      <c r="L17" s="258">
        <v>74.2</v>
      </c>
    </row>
    <row r="18" spans="1:12" x14ac:dyDescent="0.3">
      <c r="A18" s="49">
        <v>1</v>
      </c>
      <c r="B18" s="21" t="s">
        <v>629</v>
      </c>
      <c r="C18" s="21" t="s">
        <v>269</v>
      </c>
      <c r="D18" s="21" t="s">
        <v>278</v>
      </c>
      <c r="E18" s="21">
        <v>311</v>
      </c>
      <c r="F18" s="110">
        <v>28197</v>
      </c>
      <c r="G18" s="21">
        <v>182</v>
      </c>
      <c r="H18" s="258">
        <v>55</v>
      </c>
      <c r="I18" s="21">
        <v>1</v>
      </c>
      <c r="J18" s="21">
        <v>36</v>
      </c>
      <c r="K18" s="21">
        <v>1.5</v>
      </c>
      <c r="L18" s="21">
        <v>61.6</v>
      </c>
    </row>
    <row r="19" spans="1:12" x14ac:dyDescent="0.3">
      <c r="A19" s="49">
        <v>1</v>
      </c>
      <c r="B19" s="21" t="s">
        <v>260</v>
      </c>
      <c r="C19" s="21" t="s">
        <v>272</v>
      </c>
      <c r="D19" s="21" t="s">
        <v>278</v>
      </c>
      <c r="E19" s="21">
        <v>311</v>
      </c>
      <c r="F19" s="110">
        <v>28197</v>
      </c>
      <c r="G19" s="21">
        <v>182</v>
      </c>
      <c r="H19" s="258">
        <v>55</v>
      </c>
      <c r="I19" s="21">
        <v>1</v>
      </c>
      <c r="J19" s="21">
        <v>36</v>
      </c>
      <c r="K19" s="21">
        <v>1.5</v>
      </c>
      <c r="L19" s="21">
        <v>61.6</v>
      </c>
    </row>
    <row r="20" spans="1:12" x14ac:dyDescent="0.3">
      <c r="A20" s="49">
        <v>0</v>
      </c>
      <c r="B20" s="21" t="s">
        <v>648</v>
      </c>
      <c r="C20" s="21" t="s">
        <v>650</v>
      </c>
      <c r="D20" s="21" t="s">
        <v>276</v>
      </c>
      <c r="E20" s="21">
        <v>211</v>
      </c>
      <c r="F20" s="110">
        <v>27496</v>
      </c>
      <c r="G20" s="21">
        <v>178</v>
      </c>
      <c r="H20" s="258">
        <v>69</v>
      </c>
      <c r="I20" s="258">
        <v>1</v>
      </c>
      <c r="J20" s="258">
        <v>45</v>
      </c>
      <c r="K20" s="258">
        <v>1.4</v>
      </c>
      <c r="L20" s="258">
        <v>68.2</v>
      </c>
    </row>
    <row r="21" spans="1:12" x14ac:dyDescent="0.3">
      <c r="A21" s="49">
        <v>1</v>
      </c>
      <c r="B21" s="21" t="s">
        <v>252</v>
      </c>
      <c r="C21" s="21" t="s">
        <v>195</v>
      </c>
      <c r="D21" s="21" t="s">
        <v>276</v>
      </c>
      <c r="E21" s="21">
        <v>111</v>
      </c>
      <c r="F21" s="110">
        <v>26879</v>
      </c>
      <c r="G21" s="21">
        <v>185</v>
      </c>
      <c r="H21" s="21">
        <v>75</v>
      </c>
      <c r="I21" s="21">
        <v>0</v>
      </c>
      <c r="J21" s="21">
        <v>36</v>
      </c>
      <c r="K21" s="21">
        <v>1.2</v>
      </c>
      <c r="L21" s="21">
        <v>43.2</v>
      </c>
    </row>
    <row r="22" spans="1:12" x14ac:dyDescent="0.3">
      <c r="A22" s="49">
        <v>0</v>
      </c>
      <c r="B22" s="21" t="s">
        <v>647</v>
      </c>
      <c r="C22" s="21" t="s">
        <v>267</v>
      </c>
      <c r="D22" s="21" t="s">
        <v>278</v>
      </c>
      <c r="E22" s="21">
        <v>111</v>
      </c>
      <c r="F22" s="110">
        <v>28614</v>
      </c>
      <c r="G22" s="21">
        <v>185</v>
      </c>
      <c r="H22" s="258">
        <v>78</v>
      </c>
      <c r="I22" s="258">
        <v>0</v>
      </c>
      <c r="J22" s="258">
        <v>34</v>
      </c>
      <c r="K22" s="258">
        <v>1.3</v>
      </c>
      <c r="L22" s="258">
        <v>35.4</v>
      </c>
    </row>
    <row r="23" spans="1:12" x14ac:dyDescent="0.3">
      <c r="A23" s="49">
        <v>0</v>
      </c>
      <c r="B23" s="21" t="s">
        <v>259</v>
      </c>
      <c r="C23" s="21" t="s">
        <v>271</v>
      </c>
      <c r="D23" s="21" t="s">
        <v>279</v>
      </c>
      <c r="E23" s="21">
        <v>211</v>
      </c>
      <c r="F23" s="110">
        <v>28725</v>
      </c>
      <c r="G23" s="21">
        <v>174</v>
      </c>
      <c r="H23" s="21">
        <v>56</v>
      </c>
      <c r="I23" s="21">
        <v>0</v>
      </c>
      <c r="J23" s="21">
        <v>66</v>
      </c>
      <c r="K23" s="21">
        <v>1.4</v>
      </c>
      <c r="L23" s="21">
        <v>46.9</v>
      </c>
    </row>
    <row r="24" spans="1:12" x14ac:dyDescent="0.3">
      <c r="A24" s="49">
        <v>1</v>
      </c>
      <c r="B24" s="21" t="s">
        <v>649</v>
      </c>
      <c r="C24" s="21" t="s">
        <v>651</v>
      </c>
      <c r="D24" s="21" t="s">
        <v>281</v>
      </c>
      <c r="E24" s="21">
        <v>101</v>
      </c>
      <c r="F24" s="110">
        <v>28271</v>
      </c>
      <c r="G24" s="21">
        <v>152</v>
      </c>
      <c r="H24" s="258">
        <v>65</v>
      </c>
      <c r="I24" s="258">
        <v>1</v>
      </c>
      <c r="J24" s="258">
        <v>29</v>
      </c>
      <c r="K24" s="258">
        <v>1.2</v>
      </c>
      <c r="L24" s="258">
        <v>41.9</v>
      </c>
    </row>
    <row r="25" spans="1:12" x14ac:dyDescent="0.3">
      <c r="A25" s="49">
        <v>0</v>
      </c>
      <c r="B25" s="21" t="s">
        <v>633</v>
      </c>
      <c r="C25" s="21" t="s">
        <v>640</v>
      </c>
      <c r="D25" s="21" t="s">
        <v>277</v>
      </c>
      <c r="E25" s="21">
        <v>101</v>
      </c>
      <c r="F25" s="110">
        <v>28160</v>
      </c>
      <c r="G25" s="21">
        <v>179</v>
      </c>
      <c r="H25" s="258">
        <v>78</v>
      </c>
      <c r="I25" s="21">
        <v>1</v>
      </c>
      <c r="J25" s="21">
        <v>36</v>
      </c>
      <c r="K25" s="21">
        <v>1.4</v>
      </c>
      <c r="L25" s="21">
        <v>54.2</v>
      </c>
    </row>
    <row r="26" spans="1:12" x14ac:dyDescent="0.3">
      <c r="A26" s="49">
        <v>0</v>
      </c>
      <c r="B26" s="21" t="s">
        <v>632</v>
      </c>
      <c r="C26" s="21" t="s">
        <v>268</v>
      </c>
      <c r="D26" s="21" t="s">
        <v>276</v>
      </c>
      <c r="E26" s="21">
        <v>111</v>
      </c>
      <c r="F26" s="110">
        <v>29103</v>
      </c>
      <c r="G26" s="21">
        <v>180</v>
      </c>
      <c r="H26" s="258">
        <v>80</v>
      </c>
      <c r="I26" s="21">
        <v>0</v>
      </c>
      <c r="J26" s="21">
        <v>29</v>
      </c>
      <c r="K26" s="21">
        <v>1.3</v>
      </c>
      <c r="L26" s="21">
        <v>54</v>
      </c>
    </row>
    <row r="27" spans="1:12" x14ac:dyDescent="0.3">
      <c r="A27" s="49">
        <v>0</v>
      </c>
      <c r="B27" s="21" t="s">
        <v>630</v>
      </c>
      <c r="C27" s="21" t="s">
        <v>638</v>
      </c>
      <c r="D27" s="21" t="s">
        <v>277</v>
      </c>
      <c r="E27" s="21">
        <v>201</v>
      </c>
      <c r="F27" s="110">
        <v>26912</v>
      </c>
      <c r="G27" s="21">
        <v>180</v>
      </c>
      <c r="H27" s="258">
        <v>78</v>
      </c>
      <c r="I27" s="21">
        <v>1</v>
      </c>
      <c r="J27" s="21">
        <v>45</v>
      </c>
      <c r="K27" s="21">
        <v>1.4</v>
      </c>
      <c r="L27" s="21">
        <v>67.5</v>
      </c>
    </row>
    <row r="28" spans="1:12" x14ac:dyDescent="0.3">
      <c r="A28" s="49">
        <v>1</v>
      </c>
      <c r="B28" s="21" t="s">
        <v>257</v>
      </c>
      <c r="C28" s="21" t="s">
        <v>269</v>
      </c>
      <c r="D28" s="21" t="s">
        <v>276</v>
      </c>
      <c r="E28" s="21">
        <v>201</v>
      </c>
      <c r="F28" s="110">
        <v>28397</v>
      </c>
      <c r="G28" s="21">
        <v>180</v>
      </c>
      <c r="H28" s="258">
        <v>78</v>
      </c>
      <c r="I28" s="21">
        <v>0</v>
      </c>
      <c r="J28" s="21">
        <v>36</v>
      </c>
      <c r="K28" s="21">
        <v>1.6</v>
      </c>
      <c r="L28" s="21">
        <v>105</v>
      </c>
    </row>
    <row r="29" spans="1:12" x14ac:dyDescent="0.3">
      <c r="A29" s="49">
        <v>0</v>
      </c>
      <c r="B29" s="21" t="s">
        <v>636</v>
      </c>
      <c r="C29" s="21" t="s">
        <v>643</v>
      </c>
      <c r="D29" s="21" t="s">
        <v>279</v>
      </c>
      <c r="E29" s="21">
        <v>211</v>
      </c>
      <c r="F29" s="110">
        <v>28725</v>
      </c>
      <c r="G29" s="21">
        <v>170</v>
      </c>
      <c r="H29" s="21">
        <v>56</v>
      </c>
      <c r="I29" s="21">
        <v>0</v>
      </c>
      <c r="J29" s="21">
        <v>66</v>
      </c>
      <c r="K29" s="21">
        <v>1.4</v>
      </c>
      <c r="L29" s="21">
        <v>46.9</v>
      </c>
    </row>
    <row r="30" spans="1:12" x14ac:dyDescent="0.3">
      <c r="A30" s="49">
        <v>0</v>
      </c>
      <c r="B30" s="21" t="s">
        <v>634</v>
      </c>
      <c r="C30" s="21" t="s">
        <v>641</v>
      </c>
      <c r="D30" s="21" t="s">
        <v>277</v>
      </c>
      <c r="E30" s="21">
        <v>211</v>
      </c>
      <c r="F30" s="110">
        <v>28622</v>
      </c>
      <c r="G30" s="21">
        <v>175</v>
      </c>
      <c r="H30" s="258">
        <v>68</v>
      </c>
      <c r="I30" s="21">
        <v>0</v>
      </c>
      <c r="J30" s="21">
        <v>75</v>
      </c>
      <c r="K30" s="21">
        <v>1.3</v>
      </c>
      <c r="L30" s="21">
        <v>79.2</v>
      </c>
    </row>
    <row r="31" spans="1:12" x14ac:dyDescent="0.3">
      <c r="A31" s="49">
        <v>1</v>
      </c>
      <c r="B31" s="21" t="s">
        <v>627</v>
      </c>
      <c r="C31" s="21" t="s">
        <v>628</v>
      </c>
      <c r="D31" s="21" t="s">
        <v>622</v>
      </c>
      <c r="E31" s="21">
        <v>101</v>
      </c>
      <c r="F31" s="110">
        <v>27895</v>
      </c>
      <c r="G31" s="21">
        <v>178</v>
      </c>
      <c r="H31" s="258">
        <v>72</v>
      </c>
      <c r="I31" s="258">
        <v>1</v>
      </c>
      <c r="J31" s="258">
        <v>30</v>
      </c>
      <c r="K31" s="258">
        <v>1.5</v>
      </c>
      <c r="L31" s="258">
        <v>70.400000000000006</v>
      </c>
    </row>
    <row r="32" spans="1:12" x14ac:dyDescent="0.3">
      <c r="A32" s="49">
        <v>0</v>
      </c>
      <c r="B32" s="21" t="s">
        <v>263</v>
      </c>
      <c r="C32" s="21" t="s">
        <v>275</v>
      </c>
      <c r="D32" s="21" t="s">
        <v>277</v>
      </c>
      <c r="E32" s="21">
        <v>101</v>
      </c>
      <c r="F32" s="110">
        <v>28160</v>
      </c>
      <c r="G32" s="21">
        <v>179</v>
      </c>
      <c r="H32" s="258">
        <v>78</v>
      </c>
      <c r="I32" s="21">
        <v>1</v>
      </c>
      <c r="J32" s="21">
        <v>36</v>
      </c>
      <c r="K32" s="21">
        <v>1.4</v>
      </c>
      <c r="L32" s="21">
        <v>54.2</v>
      </c>
    </row>
    <row r="33" spans="1:12" x14ac:dyDescent="0.3">
      <c r="A33" s="49">
        <v>1</v>
      </c>
      <c r="B33" s="148" t="s">
        <v>257</v>
      </c>
      <c r="C33" s="148" t="s">
        <v>269</v>
      </c>
      <c r="D33" s="148" t="s">
        <v>276</v>
      </c>
      <c r="E33" s="46">
        <v>201</v>
      </c>
      <c r="F33" s="149">
        <v>28397</v>
      </c>
      <c r="G33" s="21">
        <v>180</v>
      </c>
      <c r="H33" s="21">
        <v>78</v>
      </c>
      <c r="I33" s="21">
        <v>0</v>
      </c>
      <c r="J33" s="21">
        <v>36</v>
      </c>
      <c r="K33" s="21">
        <v>1.6</v>
      </c>
      <c r="L33" s="21">
        <v>105</v>
      </c>
    </row>
    <row r="34" spans="1:12" x14ac:dyDescent="0.3">
      <c r="A34" s="49">
        <v>0</v>
      </c>
      <c r="B34" s="148" t="s">
        <v>262</v>
      </c>
      <c r="C34" s="148" t="s">
        <v>274</v>
      </c>
      <c r="D34" s="148" t="s">
        <v>276</v>
      </c>
      <c r="E34" s="46">
        <v>111</v>
      </c>
      <c r="F34" s="149">
        <v>29103</v>
      </c>
      <c r="G34" s="21">
        <v>180</v>
      </c>
      <c r="H34" s="21">
        <v>80</v>
      </c>
      <c r="I34" s="21">
        <v>1</v>
      </c>
      <c r="J34" s="21">
        <v>52</v>
      </c>
      <c r="K34" s="21">
        <v>1.4</v>
      </c>
      <c r="L34" s="21">
        <v>73.7</v>
      </c>
    </row>
    <row r="35" spans="1:12" x14ac:dyDescent="0.3">
      <c r="A35" s="49">
        <v>0</v>
      </c>
      <c r="B35" s="257" t="s">
        <v>379</v>
      </c>
      <c r="C35" s="257" t="s">
        <v>273</v>
      </c>
      <c r="D35" s="21" t="s">
        <v>278</v>
      </c>
      <c r="E35" s="46">
        <v>311</v>
      </c>
      <c r="F35" s="110">
        <v>28197</v>
      </c>
      <c r="G35" s="21">
        <v>182</v>
      </c>
      <c r="H35" s="258">
        <v>55</v>
      </c>
      <c r="I35" s="21">
        <v>1</v>
      </c>
      <c r="J35" s="21">
        <v>64</v>
      </c>
      <c r="K35" s="21">
        <v>1.1000000000000001</v>
      </c>
      <c r="L35" s="21">
        <v>83.2</v>
      </c>
    </row>
    <row r="36" spans="1:12" x14ac:dyDescent="0.3">
      <c r="A36" s="49">
        <v>1</v>
      </c>
      <c r="B36" s="257" t="s">
        <v>385</v>
      </c>
      <c r="C36" s="257" t="s">
        <v>386</v>
      </c>
      <c r="D36" s="21" t="s">
        <v>276</v>
      </c>
      <c r="E36" s="46">
        <v>111</v>
      </c>
      <c r="F36" s="110">
        <v>27496</v>
      </c>
      <c r="G36" s="21">
        <v>178</v>
      </c>
      <c r="H36" s="258">
        <v>69</v>
      </c>
      <c r="I36" s="21">
        <v>0</v>
      </c>
      <c r="J36" s="21">
        <v>75</v>
      </c>
      <c r="K36" s="21">
        <v>1.3</v>
      </c>
      <c r="L36" s="21">
        <v>79.2</v>
      </c>
    </row>
    <row r="37" spans="1:12" x14ac:dyDescent="0.3">
      <c r="A37" s="49">
        <v>1</v>
      </c>
      <c r="B37" s="257" t="s">
        <v>389</v>
      </c>
      <c r="C37" s="257" t="s">
        <v>195</v>
      </c>
      <c r="D37" s="21" t="s">
        <v>276</v>
      </c>
      <c r="E37" s="46">
        <v>211</v>
      </c>
      <c r="F37" s="110">
        <v>26879</v>
      </c>
      <c r="G37" s="21">
        <v>185</v>
      </c>
      <c r="H37" s="21">
        <v>75</v>
      </c>
      <c r="I37" s="21">
        <v>1</v>
      </c>
      <c r="J37" s="21">
        <v>52</v>
      </c>
      <c r="K37" s="21">
        <v>1.4</v>
      </c>
      <c r="L37" s="21">
        <v>73.7</v>
      </c>
    </row>
    <row r="38" spans="1:12" x14ac:dyDescent="0.3">
      <c r="A38" s="49">
        <v>1</v>
      </c>
      <c r="B38" s="257" t="s">
        <v>392</v>
      </c>
      <c r="C38" s="257" t="s">
        <v>393</v>
      </c>
      <c r="D38" s="21" t="s">
        <v>278</v>
      </c>
      <c r="E38" s="46">
        <v>311</v>
      </c>
      <c r="F38" s="110">
        <v>28614</v>
      </c>
      <c r="G38" s="21">
        <v>185</v>
      </c>
      <c r="H38" s="258">
        <v>78</v>
      </c>
      <c r="I38" s="258">
        <v>0</v>
      </c>
      <c r="J38" s="258">
        <v>34</v>
      </c>
      <c r="K38" s="258">
        <v>1.1000000000000001</v>
      </c>
      <c r="L38" s="258">
        <v>54.6</v>
      </c>
    </row>
    <row r="39" spans="1:12" x14ac:dyDescent="0.3">
      <c r="A39" s="49">
        <v>1</v>
      </c>
      <c r="B39" s="257" t="s">
        <v>395</v>
      </c>
      <c r="C39" s="257" t="s">
        <v>266</v>
      </c>
      <c r="D39" s="21" t="s">
        <v>279</v>
      </c>
      <c r="E39" s="46">
        <v>111</v>
      </c>
      <c r="F39" s="110">
        <v>28725</v>
      </c>
      <c r="G39" s="21">
        <v>174</v>
      </c>
      <c r="H39" s="21">
        <v>56</v>
      </c>
      <c r="I39" s="21">
        <v>1</v>
      </c>
      <c r="J39" s="21">
        <v>44</v>
      </c>
      <c r="K39" s="21">
        <v>1.5</v>
      </c>
      <c r="L39" s="21">
        <v>46.4</v>
      </c>
    </row>
    <row r="40" spans="1:12" x14ac:dyDescent="0.3">
      <c r="A40" s="49">
        <v>0</v>
      </c>
      <c r="B40" s="257" t="s">
        <v>397</v>
      </c>
      <c r="C40" s="257" t="s">
        <v>398</v>
      </c>
      <c r="D40" s="21" t="s">
        <v>281</v>
      </c>
      <c r="E40" s="46">
        <v>211</v>
      </c>
      <c r="F40" s="110">
        <v>28271</v>
      </c>
      <c r="G40" s="21">
        <v>152</v>
      </c>
      <c r="H40" s="258">
        <v>65</v>
      </c>
      <c r="I40" s="21">
        <v>0</v>
      </c>
      <c r="J40" s="21">
        <v>31</v>
      </c>
      <c r="K40" s="21">
        <v>1.5</v>
      </c>
      <c r="L40" s="21">
        <v>40.299999999999997</v>
      </c>
    </row>
    <row r="41" spans="1:12" x14ac:dyDescent="0.3">
      <c r="A41" s="49">
        <v>1</v>
      </c>
      <c r="B41" s="257" t="s">
        <v>401</v>
      </c>
      <c r="C41" s="257" t="s">
        <v>195</v>
      </c>
      <c r="D41" s="21" t="s">
        <v>277</v>
      </c>
      <c r="E41" s="46">
        <v>201</v>
      </c>
      <c r="F41" s="110">
        <v>28160</v>
      </c>
      <c r="G41" s="21">
        <v>179</v>
      </c>
      <c r="H41" s="258">
        <v>78</v>
      </c>
      <c r="I41" s="21">
        <v>1</v>
      </c>
      <c r="J41" s="21">
        <v>64</v>
      </c>
      <c r="K41" s="21">
        <v>1.1000000000000001</v>
      </c>
      <c r="L41" s="21">
        <v>83.2</v>
      </c>
    </row>
    <row r="42" spans="1:12" x14ac:dyDescent="0.3">
      <c r="A42" s="49">
        <v>1</v>
      </c>
      <c r="B42" s="257" t="s">
        <v>403</v>
      </c>
      <c r="C42" s="257" t="s">
        <v>404</v>
      </c>
      <c r="D42" s="21" t="s">
        <v>276</v>
      </c>
      <c r="E42" s="46">
        <v>211</v>
      </c>
      <c r="F42" s="110">
        <v>29103</v>
      </c>
      <c r="G42" s="21">
        <v>180</v>
      </c>
      <c r="H42" s="258">
        <v>80</v>
      </c>
      <c r="I42" s="21">
        <v>0</v>
      </c>
      <c r="J42" s="21">
        <v>22</v>
      </c>
      <c r="K42" s="21">
        <v>1.2</v>
      </c>
      <c r="L42" s="21">
        <v>72.8</v>
      </c>
    </row>
    <row r="43" spans="1:12" x14ac:dyDescent="0.3">
      <c r="A43" s="49">
        <v>1</v>
      </c>
      <c r="B43" s="257" t="s">
        <v>407</v>
      </c>
      <c r="C43" s="257" t="s">
        <v>408</v>
      </c>
      <c r="D43" s="21" t="s">
        <v>277</v>
      </c>
      <c r="E43" s="46">
        <v>111</v>
      </c>
      <c r="F43" s="110">
        <v>26912</v>
      </c>
      <c r="G43" s="21">
        <v>180</v>
      </c>
      <c r="H43" s="258">
        <v>78</v>
      </c>
      <c r="I43" s="21">
        <v>0</v>
      </c>
      <c r="J43" s="21">
        <v>31</v>
      </c>
      <c r="K43" s="21">
        <v>1.5</v>
      </c>
      <c r="L43" s="21">
        <v>40.299999999999997</v>
      </c>
    </row>
    <row r="44" spans="1:12" x14ac:dyDescent="0.3">
      <c r="A44" s="49">
        <v>1</v>
      </c>
      <c r="B44" s="257" t="s">
        <v>410</v>
      </c>
      <c r="C44" s="257" t="s">
        <v>195</v>
      </c>
      <c r="D44" s="21" t="s">
        <v>276</v>
      </c>
      <c r="E44" s="46">
        <v>111</v>
      </c>
      <c r="F44" s="110">
        <v>28397</v>
      </c>
      <c r="G44" s="21">
        <v>180</v>
      </c>
      <c r="H44" s="258">
        <v>78</v>
      </c>
      <c r="I44" s="21">
        <v>0</v>
      </c>
      <c r="J44" s="21">
        <v>29</v>
      </c>
      <c r="K44" s="21">
        <v>1.3</v>
      </c>
      <c r="L44" s="21">
        <v>54</v>
      </c>
    </row>
    <row r="45" spans="1:12" x14ac:dyDescent="0.3">
      <c r="A45" s="49">
        <v>1</v>
      </c>
      <c r="B45" s="257" t="s">
        <v>412</v>
      </c>
      <c r="C45" s="257" t="s">
        <v>413</v>
      </c>
      <c r="D45" s="21" t="s">
        <v>279</v>
      </c>
      <c r="E45" s="46">
        <v>201</v>
      </c>
      <c r="F45" s="110">
        <v>28725</v>
      </c>
      <c r="G45" s="21">
        <v>1700</v>
      </c>
      <c r="H45" s="21">
        <v>56</v>
      </c>
      <c r="I45" s="258">
        <v>0</v>
      </c>
      <c r="J45" s="258">
        <v>56</v>
      </c>
      <c r="K45" s="258">
        <v>1.2</v>
      </c>
      <c r="L45" s="258">
        <v>74.2</v>
      </c>
    </row>
    <row r="46" spans="1:12" x14ac:dyDescent="0.3">
      <c r="A46" s="49">
        <v>0</v>
      </c>
      <c r="B46" s="257" t="s">
        <v>415</v>
      </c>
      <c r="C46" s="257" t="s">
        <v>416</v>
      </c>
      <c r="D46" s="21" t="s">
        <v>277</v>
      </c>
      <c r="E46" s="46">
        <v>111</v>
      </c>
      <c r="F46" s="110">
        <v>28622</v>
      </c>
      <c r="G46" s="21">
        <v>175</v>
      </c>
      <c r="H46" s="258">
        <v>68</v>
      </c>
      <c r="I46" s="21">
        <v>1</v>
      </c>
      <c r="J46" s="21">
        <v>36</v>
      </c>
      <c r="K46" s="21">
        <v>1.5</v>
      </c>
      <c r="L46" s="21">
        <v>61.6</v>
      </c>
    </row>
    <row r="47" spans="1:12" x14ac:dyDescent="0.3">
      <c r="A47" s="49">
        <v>1</v>
      </c>
      <c r="B47" s="257" t="s">
        <v>417</v>
      </c>
      <c r="C47" s="257" t="s">
        <v>418</v>
      </c>
      <c r="D47" s="21" t="s">
        <v>622</v>
      </c>
      <c r="E47" s="46">
        <v>311</v>
      </c>
      <c r="F47" s="110">
        <v>27895</v>
      </c>
      <c r="G47" s="21">
        <v>178</v>
      </c>
      <c r="H47" s="258">
        <v>72</v>
      </c>
      <c r="I47" s="21">
        <v>1</v>
      </c>
      <c r="J47" s="21">
        <v>36</v>
      </c>
      <c r="K47" s="21">
        <v>1.5</v>
      </c>
      <c r="L47" s="21">
        <v>61.6</v>
      </c>
    </row>
    <row r="48" spans="1:12" x14ac:dyDescent="0.3">
      <c r="A48" s="49">
        <v>1</v>
      </c>
      <c r="B48" s="257" t="s">
        <v>419</v>
      </c>
      <c r="C48" s="257" t="s">
        <v>386</v>
      </c>
      <c r="D48" s="21" t="s">
        <v>277</v>
      </c>
      <c r="E48" s="46">
        <v>111</v>
      </c>
      <c r="F48" s="110">
        <v>28160</v>
      </c>
      <c r="G48" s="21">
        <v>179</v>
      </c>
      <c r="H48" s="258">
        <v>78</v>
      </c>
      <c r="I48" s="258">
        <v>1</v>
      </c>
      <c r="J48" s="258">
        <v>45</v>
      </c>
      <c r="K48" s="258">
        <v>1.4</v>
      </c>
      <c r="L48" s="258">
        <v>68.2</v>
      </c>
    </row>
    <row r="49" spans="1:12" x14ac:dyDescent="0.3">
      <c r="A49" s="49">
        <v>0</v>
      </c>
      <c r="B49" s="257" t="s">
        <v>420</v>
      </c>
      <c r="C49" s="257" t="s">
        <v>421</v>
      </c>
      <c r="D49" s="21" t="s">
        <v>277</v>
      </c>
      <c r="E49" s="46">
        <v>211</v>
      </c>
      <c r="F49" s="110">
        <v>26879</v>
      </c>
      <c r="G49" s="21">
        <v>185</v>
      </c>
      <c r="H49" s="21">
        <v>75</v>
      </c>
      <c r="I49" s="21">
        <v>0</v>
      </c>
      <c r="J49" s="21">
        <v>36</v>
      </c>
      <c r="K49" s="21">
        <v>1.2</v>
      </c>
      <c r="L49" s="21">
        <v>43.2</v>
      </c>
    </row>
    <row r="50" spans="1:12" x14ac:dyDescent="0.3">
      <c r="A50" s="49">
        <v>1</v>
      </c>
      <c r="B50" s="257" t="s">
        <v>422</v>
      </c>
      <c r="C50" s="257" t="s">
        <v>423</v>
      </c>
      <c r="D50" s="21" t="s">
        <v>277</v>
      </c>
      <c r="E50" s="46">
        <v>311</v>
      </c>
      <c r="F50" s="110">
        <v>28614</v>
      </c>
      <c r="G50" s="21">
        <v>185</v>
      </c>
      <c r="H50" s="258">
        <v>78</v>
      </c>
      <c r="I50" s="258">
        <v>0</v>
      </c>
      <c r="J50" s="258">
        <v>34</v>
      </c>
      <c r="K50" s="258">
        <v>1.3</v>
      </c>
      <c r="L50" s="258">
        <v>35.4</v>
      </c>
    </row>
    <row r="51" spans="1:12" x14ac:dyDescent="0.3">
      <c r="A51" s="49">
        <v>1</v>
      </c>
      <c r="B51" s="257" t="s">
        <v>424</v>
      </c>
      <c r="C51" s="257" t="s">
        <v>425</v>
      </c>
      <c r="D51" s="21" t="s">
        <v>277</v>
      </c>
      <c r="E51" s="46">
        <v>111</v>
      </c>
      <c r="F51" s="110">
        <v>28725</v>
      </c>
      <c r="G51" s="21">
        <v>174</v>
      </c>
      <c r="H51" s="21">
        <v>56</v>
      </c>
      <c r="I51" s="21">
        <v>0</v>
      </c>
      <c r="J51" s="21">
        <v>66</v>
      </c>
      <c r="K51" s="21">
        <v>1.4</v>
      </c>
      <c r="L51" s="21">
        <v>46.9</v>
      </c>
    </row>
    <row r="52" spans="1:12" x14ac:dyDescent="0.3">
      <c r="A52" s="49">
        <v>0</v>
      </c>
      <c r="B52" s="257" t="s">
        <v>426</v>
      </c>
      <c r="C52" s="257" t="s">
        <v>268</v>
      </c>
      <c r="D52" s="21" t="s">
        <v>277</v>
      </c>
      <c r="E52" s="46">
        <v>211</v>
      </c>
      <c r="F52" s="110">
        <v>28271</v>
      </c>
      <c r="G52" s="21">
        <v>152</v>
      </c>
      <c r="H52" s="258">
        <v>65</v>
      </c>
      <c r="I52" s="258">
        <v>1</v>
      </c>
      <c r="J52" s="258">
        <v>29</v>
      </c>
      <c r="K52" s="258">
        <v>1.2</v>
      </c>
      <c r="L52" s="258">
        <v>41.9</v>
      </c>
    </row>
    <row r="53" spans="1:12" x14ac:dyDescent="0.3">
      <c r="A53" s="49">
        <v>1</v>
      </c>
      <c r="B53" s="257" t="s">
        <v>427</v>
      </c>
      <c r="C53" s="257" t="s">
        <v>266</v>
      </c>
      <c r="D53" s="148" t="s">
        <v>279</v>
      </c>
      <c r="E53" s="46">
        <v>201</v>
      </c>
      <c r="F53" s="110">
        <v>28160</v>
      </c>
      <c r="G53" s="21">
        <v>179</v>
      </c>
      <c r="H53" s="258">
        <v>78</v>
      </c>
      <c r="I53" s="21">
        <v>1</v>
      </c>
      <c r="J53" s="21">
        <v>36</v>
      </c>
      <c r="K53" s="21">
        <v>1.4</v>
      </c>
      <c r="L53" s="21">
        <v>54.2</v>
      </c>
    </row>
    <row r="54" spans="1:12" x14ac:dyDescent="0.3">
      <c r="A54" s="49">
        <v>1</v>
      </c>
      <c r="B54" s="257" t="s">
        <v>428</v>
      </c>
      <c r="C54" s="257" t="s">
        <v>429</v>
      </c>
      <c r="D54" s="148" t="s">
        <v>279</v>
      </c>
      <c r="E54" s="46">
        <v>211</v>
      </c>
      <c r="F54" s="110">
        <v>29103</v>
      </c>
      <c r="G54" s="21">
        <v>180</v>
      </c>
      <c r="H54" s="258">
        <v>80</v>
      </c>
      <c r="I54" s="21">
        <v>0</v>
      </c>
      <c r="J54" s="21">
        <v>29</v>
      </c>
      <c r="K54" s="21">
        <v>1.3</v>
      </c>
      <c r="L54" s="21">
        <v>54</v>
      </c>
    </row>
    <row r="55" spans="1:12" x14ac:dyDescent="0.3">
      <c r="A55" s="49">
        <v>1</v>
      </c>
      <c r="B55" s="257" t="s">
        <v>430</v>
      </c>
      <c r="C55" s="257" t="s">
        <v>269</v>
      </c>
      <c r="D55" s="148" t="s">
        <v>277</v>
      </c>
      <c r="E55" s="46">
        <v>111</v>
      </c>
      <c r="F55" s="110">
        <v>26912</v>
      </c>
      <c r="G55" s="21">
        <v>180</v>
      </c>
      <c r="H55" s="258">
        <v>78</v>
      </c>
      <c r="I55" s="21">
        <v>1</v>
      </c>
      <c r="J55" s="21">
        <v>45</v>
      </c>
      <c r="K55" s="21">
        <v>1.4</v>
      </c>
      <c r="L55" s="21">
        <v>67.5</v>
      </c>
    </row>
    <row r="56" spans="1:12" x14ac:dyDescent="0.3">
      <c r="A56" s="49">
        <v>1</v>
      </c>
      <c r="B56" s="257" t="s">
        <v>432</v>
      </c>
      <c r="C56" s="257" t="s">
        <v>386</v>
      </c>
      <c r="D56" s="148" t="s">
        <v>277</v>
      </c>
      <c r="E56" s="46">
        <v>111</v>
      </c>
      <c r="F56" s="149">
        <v>28564</v>
      </c>
      <c r="G56" s="21">
        <v>182</v>
      </c>
      <c r="H56" s="21">
        <v>76</v>
      </c>
      <c r="I56" s="21">
        <v>0</v>
      </c>
      <c r="J56" s="21">
        <v>36</v>
      </c>
      <c r="K56" s="21">
        <v>1.6</v>
      </c>
      <c r="L56" s="21">
        <v>105</v>
      </c>
    </row>
    <row r="57" spans="1:12" x14ac:dyDescent="0.3">
      <c r="A57" s="49">
        <v>0</v>
      </c>
      <c r="B57" s="257" t="s">
        <v>433</v>
      </c>
      <c r="C57" s="257" t="s">
        <v>434</v>
      </c>
      <c r="D57" s="148" t="s">
        <v>277</v>
      </c>
      <c r="E57" s="46">
        <v>201</v>
      </c>
      <c r="F57" s="149">
        <v>28725</v>
      </c>
      <c r="G57" s="21">
        <v>175</v>
      </c>
      <c r="H57" s="21">
        <v>56</v>
      </c>
      <c r="I57" s="21">
        <v>0</v>
      </c>
      <c r="J57" s="21">
        <v>36</v>
      </c>
      <c r="K57" s="21">
        <v>1.6</v>
      </c>
      <c r="L57" s="21">
        <v>105</v>
      </c>
    </row>
    <row r="58" spans="1:12" x14ac:dyDescent="0.3">
      <c r="A58" s="49">
        <v>1</v>
      </c>
      <c r="B58" s="257" t="s">
        <v>435</v>
      </c>
      <c r="C58" s="257" t="s">
        <v>423</v>
      </c>
      <c r="D58" s="148" t="s">
        <v>276</v>
      </c>
      <c r="E58" s="46">
        <v>111</v>
      </c>
      <c r="F58" s="149">
        <v>26912</v>
      </c>
      <c r="G58" s="21">
        <v>180</v>
      </c>
      <c r="H58" s="21">
        <v>78</v>
      </c>
      <c r="I58" s="21">
        <v>1</v>
      </c>
      <c r="J58" s="21">
        <v>52</v>
      </c>
      <c r="K58" s="21">
        <v>1.4</v>
      </c>
      <c r="L58" s="21">
        <v>73.7</v>
      </c>
    </row>
    <row r="59" spans="1:12" x14ac:dyDescent="0.3">
      <c r="A59" s="49">
        <v>1</v>
      </c>
      <c r="B59" s="257" t="s">
        <v>436</v>
      </c>
      <c r="C59" s="257" t="s">
        <v>195</v>
      </c>
      <c r="D59" s="148" t="s">
        <v>276</v>
      </c>
      <c r="E59" s="46">
        <v>311</v>
      </c>
      <c r="F59" s="149">
        <v>28622</v>
      </c>
      <c r="G59" s="21">
        <v>176</v>
      </c>
      <c r="H59" s="21">
        <v>68</v>
      </c>
      <c r="I59" s="21">
        <v>1</v>
      </c>
      <c r="J59" s="21">
        <v>64</v>
      </c>
      <c r="K59" s="21">
        <v>1.1000000000000001</v>
      </c>
      <c r="L59" s="21">
        <v>83.2</v>
      </c>
    </row>
    <row r="60" spans="1:12" x14ac:dyDescent="0.3">
      <c r="A60" s="49">
        <v>1</v>
      </c>
      <c r="B60" s="257" t="s">
        <v>437</v>
      </c>
      <c r="C60" s="257" t="s">
        <v>438</v>
      </c>
      <c r="D60" s="148" t="s">
        <v>276</v>
      </c>
      <c r="E60" s="46">
        <v>111</v>
      </c>
      <c r="F60" s="149">
        <v>28624</v>
      </c>
      <c r="G60" s="21">
        <v>185</v>
      </c>
      <c r="H60" s="21">
        <v>76</v>
      </c>
      <c r="I60" s="21">
        <v>0</v>
      </c>
      <c r="J60" s="21">
        <v>75</v>
      </c>
      <c r="K60" s="21">
        <v>1.3</v>
      </c>
      <c r="L60" s="21">
        <v>79.2</v>
      </c>
    </row>
    <row r="61" spans="1:12" x14ac:dyDescent="0.3">
      <c r="A61" s="49">
        <v>1</v>
      </c>
      <c r="B61" s="257" t="s">
        <v>439</v>
      </c>
      <c r="C61" s="257" t="s">
        <v>440</v>
      </c>
      <c r="D61" s="21" t="s">
        <v>278</v>
      </c>
      <c r="E61" s="46">
        <v>211</v>
      </c>
      <c r="F61" s="149">
        <v>26879</v>
      </c>
      <c r="G61" s="21">
        <v>185</v>
      </c>
      <c r="H61" s="21">
        <v>75</v>
      </c>
      <c r="I61" s="21">
        <v>1</v>
      </c>
      <c r="J61" s="21">
        <v>52</v>
      </c>
      <c r="K61" s="21">
        <v>1.4</v>
      </c>
      <c r="L61" s="21">
        <v>73.7</v>
      </c>
    </row>
    <row r="62" spans="1:12" x14ac:dyDescent="0.3">
      <c r="A62" s="49">
        <v>1</v>
      </c>
      <c r="B62" s="257" t="s">
        <v>441</v>
      </c>
      <c r="C62" s="257" t="s">
        <v>386</v>
      </c>
      <c r="D62" s="21" t="s">
        <v>276</v>
      </c>
      <c r="E62" s="46">
        <v>311</v>
      </c>
      <c r="F62" s="149">
        <v>28397</v>
      </c>
      <c r="G62" s="21">
        <v>180</v>
      </c>
      <c r="H62" s="21">
        <v>78</v>
      </c>
      <c r="I62" s="258">
        <v>0</v>
      </c>
      <c r="J62" s="258">
        <v>34</v>
      </c>
      <c r="K62" s="258">
        <v>1.1000000000000001</v>
      </c>
      <c r="L62" s="258">
        <v>54.6</v>
      </c>
    </row>
    <row r="63" spans="1:12" x14ac:dyDescent="0.3">
      <c r="A63" s="49">
        <v>0</v>
      </c>
      <c r="B63" s="257" t="s">
        <v>442</v>
      </c>
      <c r="C63" s="257" t="s">
        <v>271</v>
      </c>
      <c r="D63" s="21" t="s">
        <v>276</v>
      </c>
      <c r="E63" s="46">
        <v>111</v>
      </c>
      <c r="F63" s="149">
        <v>29103</v>
      </c>
      <c r="G63" s="21">
        <v>180</v>
      </c>
      <c r="H63" s="21">
        <v>80</v>
      </c>
      <c r="I63" s="21">
        <v>1</v>
      </c>
      <c r="J63" s="21">
        <v>44</v>
      </c>
      <c r="K63" s="21">
        <v>1.5</v>
      </c>
      <c r="L63" s="21">
        <v>46.4</v>
      </c>
    </row>
    <row r="64" spans="1:12" x14ac:dyDescent="0.3">
      <c r="A64" s="49">
        <v>1</v>
      </c>
      <c r="B64" s="257" t="s">
        <v>443</v>
      </c>
      <c r="C64" s="257" t="s">
        <v>444</v>
      </c>
      <c r="D64" s="21" t="s">
        <v>278</v>
      </c>
      <c r="E64" s="46">
        <v>211</v>
      </c>
      <c r="F64" s="110">
        <v>28197</v>
      </c>
      <c r="G64" s="21">
        <v>182</v>
      </c>
      <c r="H64" s="258">
        <v>55</v>
      </c>
      <c r="I64" s="21">
        <v>0</v>
      </c>
      <c r="J64" s="21">
        <v>31</v>
      </c>
      <c r="K64" s="21">
        <v>1.5</v>
      </c>
      <c r="L64" s="21">
        <v>40.299999999999997</v>
      </c>
    </row>
    <row r="65" spans="1:12" x14ac:dyDescent="0.3">
      <c r="A65" s="49">
        <v>0</v>
      </c>
      <c r="B65" s="257" t="s">
        <v>445</v>
      </c>
      <c r="C65" s="257" t="s">
        <v>274</v>
      </c>
      <c r="D65" s="21" t="s">
        <v>279</v>
      </c>
      <c r="E65" s="46">
        <v>411</v>
      </c>
      <c r="F65" s="110">
        <v>27496</v>
      </c>
      <c r="G65" s="21">
        <v>178</v>
      </c>
      <c r="H65" s="258">
        <v>69</v>
      </c>
      <c r="I65" s="21">
        <v>1</v>
      </c>
      <c r="J65" s="21">
        <v>64</v>
      </c>
      <c r="K65" s="21">
        <v>1.1000000000000001</v>
      </c>
      <c r="L65" s="21">
        <v>83.2</v>
      </c>
    </row>
    <row r="66" spans="1:12" x14ac:dyDescent="0.3">
      <c r="A66" s="49">
        <v>1</v>
      </c>
      <c r="B66" s="257" t="s">
        <v>446</v>
      </c>
      <c r="C66" s="257" t="s">
        <v>266</v>
      </c>
      <c r="D66" s="21" t="s">
        <v>281</v>
      </c>
      <c r="E66" s="46">
        <v>211</v>
      </c>
      <c r="F66" s="110">
        <v>26879</v>
      </c>
      <c r="G66" s="21">
        <v>185</v>
      </c>
      <c r="H66" s="21">
        <v>75</v>
      </c>
      <c r="I66" s="21">
        <v>0</v>
      </c>
      <c r="J66" s="21">
        <v>22</v>
      </c>
      <c r="K66" s="21">
        <v>1.2</v>
      </c>
      <c r="L66" s="21">
        <v>72.8</v>
      </c>
    </row>
    <row r="67" spans="1:12" x14ac:dyDescent="0.3">
      <c r="A67" s="49">
        <v>1</v>
      </c>
      <c r="B67" s="257" t="s">
        <v>447</v>
      </c>
      <c r="C67" s="257" t="s">
        <v>448</v>
      </c>
      <c r="D67" s="21" t="s">
        <v>277</v>
      </c>
      <c r="E67" s="46">
        <v>111</v>
      </c>
      <c r="F67" s="110">
        <v>28614</v>
      </c>
      <c r="G67" s="21">
        <v>185</v>
      </c>
      <c r="H67" s="258">
        <v>78</v>
      </c>
      <c r="I67" s="21">
        <v>0</v>
      </c>
      <c r="J67" s="21">
        <v>31</v>
      </c>
      <c r="K67" s="21">
        <v>1.5</v>
      </c>
      <c r="L67" s="21">
        <v>40.299999999999997</v>
      </c>
    </row>
    <row r="68" spans="1:12" x14ac:dyDescent="0.3">
      <c r="A68" s="49">
        <v>0</v>
      </c>
      <c r="B68" s="257" t="s">
        <v>449</v>
      </c>
      <c r="C68" s="257" t="s">
        <v>450</v>
      </c>
      <c r="D68" s="21" t="s">
        <v>276</v>
      </c>
      <c r="E68" s="46">
        <v>111</v>
      </c>
      <c r="F68" s="110">
        <v>28725</v>
      </c>
      <c r="G68" s="21">
        <v>174</v>
      </c>
      <c r="H68" s="21">
        <v>56</v>
      </c>
      <c r="I68" s="21">
        <v>0</v>
      </c>
      <c r="J68" s="21">
        <v>29</v>
      </c>
      <c r="K68" s="21">
        <v>1.3</v>
      </c>
      <c r="L68" s="21">
        <v>54</v>
      </c>
    </row>
    <row r="69" spans="1:12" x14ac:dyDescent="0.3">
      <c r="A69" s="49">
        <v>0</v>
      </c>
      <c r="B69" s="257" t="s">
        <v>451</v>
      </c>
      <c r="C69" s="257" t="s">
        <v>416</v>
      </c>
      <c r="D69" s="21" t="s">
        <v>277</v>
      </c>
      <c r="E69" s="46">
        <v>201</v>
      </c>
      <c r="F69" s="110">
        <v>28271</v>
      </c>
      <c r="G69" s="21">
        <v>152</v>
      </c>
      <c r="H69" s="258">
        <v>620</v>
      </c>
      <c r="I69" s="258">
        <v>0</v>
      </c>
      <c r="J69" s="258">
        <v>56</v>
      </c>
      <c r="K69" s="258">
        <v>1.2</v>
      </c>
      <c r="L69" s="258">
        <v>74.2</v>
      </c>
    </row>
    <row r="70" spans="1:12" x14ac:dyDescent="0.3">
      <c r="A70" s="49">
        <v>0</v>
      </c>
      <c r="B70" s="257" t="s">
        <v>452</v>
      </c>
      <c r="C70" s="257" t="s">
        <v>274</v>
      </c>
      <c r="D70" s="21" t="s">
        <v>276</v>
      </c>
      <c r="E70" s="46">
        <v>111</v>
      </c>
      <c r="F70" s="110">
        <v>28160</v>
      </c>
      <c r="G70" s="21">
        <v>179</v>
      </c>
      <c r="H70" s="258">
        <v>78</v>
      </c>
      <c r="I70" s="21">
        <v>1</v>
      </c>
      <c r="J70" s="21">
        <v>36</v>
      </c>
      <c r="K70" s="21">
        <v>1.5</v>
      </c>
      <c r="L70" s="21">
        <v>61.6</v>
      </c>
    </row>
    <row r="71" spans="1:12" x14ac:dyDescent="0.3">
      <c r="A71" s="49">
        <v>1</v>
      </c>
      <c r="B71" s="257" t="s">
        <v>453</v>
      </c>
      <c r="C71" s="257" t="s">
        <v>454</v>
      </c>
      <c r="D71" s="21" t="s">
        <v>279</v>
      </c>
      <c r="E71" s="46">
        <v>311</v>
      </c>
      <c r="F71" s="110">
        <v>29103</v>
      </c>
      <c r="G71" s="21">
        <v>180</v>
      </c>
      <c r="H71" s="258">
        <v>80</v>
      </c>
      <c r="I71" s="21">
        <v>1</v>
      </c>
      <c r="J71" s="21">
        <v>36</v>
      </c>
      <c r="K71" s="21">
        <v>1.5</v>
      </c>
      <c r="L71" s="21">
        <v>61.6</v>
      </c>
    </row>
    <row r="72" spans="1:12" x14ac:dyDescent="0.3">
      <c r="A72" s="49">
        <v>1</v>
      </c>
      <c r="B72" s="257" t="s">
        <v>455</v>
      </c>
      <c r="C72" s="257" t="s">
        <v>456</v>
      </c>
      <c r="D72" s="21" t="s">
        <v>277</v>
      </c>
      <c r="E72" s="46">
        <v>111</v>
      </c>
      <c r="F72" s="110">
        <v>26912</v>
      </c>
      <c r="G72" s="21">
        <v>180</v>
      </c>
      <c r="H72" s="258">
        <v>78</v>
      </c>
      <c r="I72" s="258">
        <v>1</v>
      </c>
      <c r="J72" s="258">
        <v>45</v>
      </c>
      <c r="K72" s="258">
        <v>1.4</v>
      </c>
      <c r="L72" s="258">
        <v>68.2</v>
      </c>
    </row>
    <row r="73" spans="1:12" x14ac:dyDescent="0.3">
      <c r="A73" s="49">
        <v>1</v>
      </c>
      <c r="B73" s="257" t="s">
        <v>457</v>
      </c>
      <c r="C73" s="257" t="s">
        <v>458</v>
      </c>
      <c r="D73" s="21" t="s">
        <v>622</v>
      </c>
      <c r="E73" s="46">
        <v>211</v>
      </c>
      <c r="F73" s="110">
        <v>28397</v>
      </c>
      <c r="G73" s="21">
        <v>180</v>
      </c>
      <c r="H73" s="258">
        <v>78</v>
      </c>
      <c r="I73" s="21">
        <v>0</v>
      </c>
      <c r="J73" s="21">
        <v>36</v>
      </c>
      <c r="K73" s="21">
        <v>1.2</v>
      </c>
      <c r="L73" s="21">
        <v>43.2</v>
      </c>
    </row>
    <row r="74" spans="1:12" x14ac:dyDescent="0.3">
      <c r="A74" s="49">
        <v>1</v>
      </c>
      <c r="B74" s="257" t="s">
        <v>459</v>
      </c>
      <c r="C74" s="257" t="s">
        <v>423</v>
      </c>
      <c r="D74" s="21" t="s">
        <v>277</v>
      </c>
      <c r="E74" s="46">
        <v>311</v>
      </c>
      <c r="F74" s="110">
        <v>28725</v>
      </c>
      <c r="G74" s="21">
        <v>170</v>
      </c>
      <c r="H74" s="21">
        <v>56</v>
      </c>
      <c r="I74" s="258">
        <v>0</v>
      </c>
      <c r="J74" s="258">
        <v>34</v>
      </c>
      <c r="K74" s="258">
        <v>1.3</v>
      </c>
      <c r="L74" s="258">
        <v>35.4</v>
      </c>
    </row>
    <row r="75" spans="1:12" x14ac:dyDescent="0.3">
      <c r="A75" s="49">
        <v>0</v>
      </c>
      <c r="B75" s="257" t="s">
        <v>461</v>
      </c>
      <c r="C75" s="257" t="s">
        <v>462</v>
      </c>
      <c r="D75" s="148" t="s">
        <v>279</v>
      </c>
      <c r="E75" s="46">
        <v>111</v>
      </c>
      <c r="F75" s="110">
        <v>28622</v>
      </c>
      <c r="G75" s="21">
        <v>175</v>
      </c>
      <c r="H75" s="258">
        <v>68</v>
      </c>
      <c r="I75" s="21">
        <v>0</v>
      </c>
      <c r="J75" s="21">
        <v>66</v>
      </c>
      <c r="K75" s="21">
        <v>1.4</v>
      </c>
      <c r="L75" s="21">
        <v>46.9</v>
      </c>
    </row>
    <row r="76" spans="1:12" x14ac:dyDescent="0.3">
      <c r="A76" s="49">
        <v>1</v>
      </c>
      <c r="B76" s="257" t="s">
        <v>463</v>
      </c>
      <c r="C76" s="257" t="s">
        <v>464</v>
      </c>
      <c r="D76" s="148" t="s">
        <v>279</v>
      </c>
      <c r="E76" s="46">
        <v>211</v>
      </c>
      <c r="F76" s="149">
        <v>28564</v>
      </c>
      <c r="G76" s="21">
        <v>182</v>
      </c>
      <c r="H76" s="21">
        <v>76</v>
      </c>
      <c r="I76" s="258">
        <v>1</v>
      </c>
      <c r="J76" s="258">
        <v>29</v>
      </c>
      <c r="K76" s="258">
        <v>1.2</v>
      </c>
      <c r="L76" s="258">
        <v>41.9</v>
      </c>
    </row>
    <row r="77" spans="1:12" x14ac:dyDescent="0.3">
      <c r="A77" s="49">
        <v>0</v>
      </c>
      <c r="B77" s="257" t="s">
        <v>467</v>
      </c>
      <c r="C77" s="257" t="s">
        <v>468</v>
      </c>
      <c r="D77" s="148" t="s">
        <v>277</v>
      </c>
      <c r="E77" s="46">
        <v>201</v>
      </c>
      <c r="F77" s="149">
        <v>28725</v>
      </c>
      <c r="G77" s="21">
        <v>175</v>
      </c>
      <c r="H77" s="21">
        <v>56</v>
      </c>
      <c r="I77" s="21">
        <v>1</v>
      </c>
      <c r="J77" s="21">
        <v>36</v>
      </c>
      <c r="K77" s="21">
        <v>1.4</v>
      </c>
      <c r="L77" s="21">
        <v>54.2</v>
      </c>
    </row>
    <row r="78" spans="1:12" x14ac:dyDescent="0.3">
      <c r="A78" s="49">
        <v>0</v>
      </c>
      <c r="B78" s="257" t="s">
        <v>469</v>
      </c>
      <c r="C78" s="257" t="s">
        <v>470</v>
      </c>
      <c r="D78" s="148" t="s">
        <v>277</v>
      </c>
      <c r="E78" s="46">
        <v>211</v>
      </c>
      <c r="F78" s="149">
        <v>26912</v>
      </c>
      <c r="G78" s="21">
        <v>180</v>
      </c>
      <c r="H78" s="21">
        <v>78</v>
      </c>
      <c r="I78" s="21">
        <v>0</v>
      </c>
      <c r="J78" s="21">
        <v>29</v>
      </c>
      <c r="K78" s="21">
        <v>1.3</v>
      </c>
      <c r="L78" s="21">
        <v>54</v>
      </c>
    </row>
    <row r="79" spans="1:12" x14ac:dyDescent="0.3">
      <c r="A79" s="49">
        <v>0</v>
      </c>
      <c r="B79" s="257" t="s">
        <v>472</v>
      </c>
      <c r="C79" s="257" t="s">
        <v>473</v>
      </c>
      <c r="D79" s="148" t="s">
        <v>277</v>
      </c>
      <c r="E79" s="46">
        <v>111</v>
      </c>
      <c r="F79" s="149">
        <v>28622</v>
      </c>
      <c r="G79" s="21">
        <v>176</v>
      </c>
      <c r="H79" s="21">
        <v>68</v>
      </c>
      <c r="I79" s="21">
        <v>1</v>
      </c>
      <c r="J79" s="21">
        <v>45</v>
      </c>
      <c r="K79" s="21">
        <v>1.4</v>
      </c>
      <c r="L79" s="21">
        <v>67.5</v>
      </c>
    </row>
    <row r="80" spans="1:12" x14ac:dyDescent="0.3">
      <c r="A80" s="49">
        <v>1</v>
      </c>
      <c r="B80" s="257" t="s">
        <v>476</v>
      </c>
      <c r="C80" s="257" t="s">
        <v>386</v>
      </c>
      <c r="D80" s="148" t="s">
        <v>276</v>
      </c>
      <c r="E80" s="46">
        <v>111</v>
      </c>
      <c r="F80" s="149">
        <v>28624</v>
      </c>
      <c r="G80" s="21">
        <v>185</v>
      </c>
      <c r="H80" s="21">
        <v>76</v>
      </c>
      <c r="I80" s="21">
        <v>0</v>
      </c>
      <c r="J80" s="21">
        <v>36</v>
      </c>
      <c r="K80" s="21">
        <v>1.6</v>
      </c>
      <c r="L80" s="21">
        <v>105</v>
      </c>
    </row>
    <row r="81" spans="1:12" x14ac:dyDescent="0.3">
      <c r="A81" s="49">
        <v>1</v>
      </c>
      <c r="B81" s="257" t="s">
        <v>477</v>
      </c>
      <c r="C81" s="257" t="s">
        <v>423</v>
      </c>
      <c r="D81" s="148" t="s">
        <v>276</v>
      </c>
      <c r="E81" s="46">
        <v>201</v>
      </c>
      <c r="F81" s="149">
        <v>26879</v>
      </c>
      <c r="G81" s="21">
        <v>185</v>
      </c>
      <c r="H81" s="21">
        <v>75</v>
      </c>
      <c r="I81" s="21">
        <v>0</v>
      </c>
      <c r="J81" s="21">
        <v>66</v>
      </c>
      <c r="K81" s="21">
        <v>1.4</v>
      </c>
      <c r="L81" s="21">
        <v>46.9</v>
      </c>
    </row>
    <row r="82" spans="1:12" x14ac:dyDescent="0.3">
      <c r="A82" s="49">
        <v>1</v>
      </c>
      <c r="B82" s="257" t="s">
        <v>478</v>
      </c>
      <c r="C82" s="257" t="s">
        <v>195</v>
      </c>
      <c r="D82" s="148" t="s">
        <v>276</v>
      </c>
      <c r="E82" s="46">
        <v>111</v>
      </c>
      <c r="F82" s="149">
        <v>28397</v>
      </c>
      <c r="G82" s="21">
        <v>180</v>
      </c>
      <c r="H82" s="21">
        <v>78</v>
      </c>
      <c r="I82" s="21">
        <v>0</v>
      </c>
      <c r="J82" s="21">
        <v>75</v>
      </c>
      <c r="K82" s="21">
        <v>1.3</v>
      </c>
      <c r="L82" s="21">
        <v>79.2</v>
      </c>
    </row>
    <row r="83" spans="1:12" x14ac:dyDescent="0.3">
      <c r="A83" s="49">
        <v>1</v>
      </c>
      <c r="B83" s="257" t="s">
        <v>479</v>
      </c>
      <c r="C83" s="257" t="s">
        <v>423</v>
      </c>
      <c r="D83" s="21" t="s">
        <v>278</v>
      </c>
      <c r="E83" s="46">
        <v>311</v>
      </c>
      <c r="F83" s="149">
        <v>29103</v>
      </c>
      <c r="G83" s="21">
        <v>180</v>
      </c>
      <c r="H83" s="21">
        <v>80</v>
      </c>
      <c r="I83" s="258">
        <v>1</v>
      </c>
      <c r="J83" s="258">
        <v>30</v>
      </c>
      <c r="K83" s="258">
        <v>1.5</v>
      </c>
      <c r="L83" s="258">
        <v>70.400000000000006</v>
      </c>
    </row>
    <row r="84" spans="1:12" x14ac:dyDescent="0.3">
      <c r="A84" s="49">
        <v>1</v>
      </c>
      <c r="B84" s="257" t="s">
        <v>480</v>
      </c>
      <c r="C84" s="257" t="s">
        <v>195</v>
      </c>
      <c r="D84" s="21" t="s">
        <v>276</v>
      </c>
      <c r="E84" s="46">
        <v>111</v>
      </c>
      <c r="F84" s="110">
        <v>28197</v>
      </c>
      <c r="G84" s="21">
        <v>182</v>
      </c>
      <c r="H84" s="258">
        <v>55</v>
      </c>
      <c r="I84" s="21">
        <v>0</v>
      </c>
      <c r="J84" s="21">
        <v>36</v>
      </c>
      <c r="K84" s="21">
        <v>1.6</v>
      </c>
      <c r="L84" s="21">
        <v>105</v>
      </c>
    </row>
    <row r="85" spans="1:12" x14ac:dyDescent="0.3">
      <c r="A85" s="49">
        <v>1</v>
      </c>
      <c r="B85" s="257" t="s">
        <v>481</v>
      </c>
      <c r="C85" s="257" t="s">
        <v>482</v>
      </c>
      <c r="D85" s="21" t="s">
        <v>276</v>
      </c>
      <c r="E85" s="46">
        <v>211</v>
      </c>
      <c r="F85" s="110">
        <v>27496</v>
      </c>
      <c r="G85" s="21">
        <v>178</v>
      </c>
      <c r="H85" s="258">
        <v>69</v>
      </c>
      <c r="I85" s="21">
        <v>1</v>
      </c>
      <c r="J85" s="21">
        <v>52</v>
      </c>
      <c r="K85" s="21">
        <v>1.4</v>
      </c>
      <c r="L85" s="21">
        <v>73.7</v>
      </c>
    </row>
    <row r="86" spans="1:12" x14ac:dyDescent="0.3">
      <c r="A86" s="49">
        <v>1</v>
      </c>
      <c r="B86" s="257" t="s">
        <v>484</v>
      </c>
      <c r="C86" s="257" t="s">
        <v>485</v>
      </c>
      <c r="D86" s="21" t="s">
        <v>278</v>
      </c>
      <c r="E86" s="46">
        <v>311</v>
      </c>
      <c r="F86" s="110">
        <v>26879</v>
      </c>
      <c r="G86" s="21">
        <v>185</v>
      </c>
      <c r="H86" s="21">
        <v>75</v>
      </c>
      <c r="I86" s="21">
        <v>1</v>
      </c>
      <c r="J86" s="21">
        <v>64</v>
      </c>
      <c r="K86" s="21">
        <v>1.1000000000000001</v>
      </c>
      <c r="L86" s="21">
        <v>83.2</v>
      </c>
    </row>
    <row r="87" spans="1:12" x14ac:dyDescent="0.3">
      <c r="A87" s="49">
        <v>0</v>
      </c>
      <c r="B87" s="257" t="s">
        <v>486</v>
      </c>
      <c r="C87" s="257" t="s">
        <v>271</v>
      </c>
      <c r="D87" s="21" t="s">
        <v>279</v>
      </c>
      <c r="E87" s="46">
        <v>111</v>
      </c>
      <c r="F87" s="110">
        <v>28614</v>
      </c>
      <c r="G87" s="21">
        <v>185</v>
      </c>
      <c r="H87" s="258">
        <v>78</v>
      </c>
      <c r="I87" s="21">
        <v>0</v>
      </c>
      <c r="J87" s="21">
        <v>75</v>
      </c>
      <c r="K87" s="21">
        <v>1.3</v>
      </c>
      <c r="L87" s="21">
        <v>79.2</v>
      </c>
    </row>
    <row r="88" spans="1:12" x14ac:dyDescent="0.3">
      <c r="A88" s="49">
        <v>0</v>
      </c>
      <c r="B88" s="257" t="s">
        <v>487</v>
      </c>
      <c r="C88" s="257" t="s">
        <v>273</v>
      </c>
      <c r="D88" s="21" t="s">
        <v>281</v>
      </c>
      <c r="E88" s="46">
        <v>211</v>
      </c>
      <c r="F88" s="110">
        <v>28725</v>
      </c>
      <c r="G88" s="21">
        <v>174</v>
      </c>
      <c r="H88" s="21">
        <v>56</v>
      </c>
      <c r="I88" s="21">
        <v>1</v>
      </c>
      <c r="J88" s="21">
        <v>52</v>
      </c>
      <c r="K88" s="21">
        <v>1.4</v>
      </c>
      <c r="L88" s="21">
        <v>73.7</v>
      </c>
    </row>
    <row r="89" spans="1:12" x14ac:dyDescent="0.3">
      <c r="A89" s="49">
        <v>1</v>
      </c>
      <c r="B89" s="257" t="s">
        <v>490</v>
      </c>
      <c r="C89" s="257" t="s">
        <v>195</v>
      </c>
      <c r="D89" s="21" t="s">
        <v>277</v>
      </c>
      <c r="E89" s="46">
        <v>201</v>
      </c>
      <c r="F89" s="110">
        <v>28271</v>
      </c>
      <c r="G89" s="21">
        <v>152</v>
      </c>
      <c r="H89" s="258">
        <v>65</v>
      </c>
      <c r="I89" s="258">
        <v>0</v>
      </c>
      <c r="J89" s="258">
        <v>34</v>
      </c>
      <c r="K89" s="258">
        <v>1.1000000000000001</v>
      </c>
      <c r="L89" s="258">
        <v>54.6</v>
      </c>
    </row>
    <row r="90" spans="1:12" x14ac:dyDescent="0.3">
      <c r="A90" s="49">
        <v>0</v>
      </c>
      <c r="B90" s="257" t="s">
        <v>492</v>
      </c>
      <c r="C90" s="257" t="s">
        <v>493</v>
      </c>
      <c r="D90" s="21" t="s">
        <v>276</v>
      </c>
      <c r="E90" s="46">
        <v>211</v>
      </c>
      <c r="F90" s="110">
        <v>28160</v>
      </c>
      <c r="G90" s="21">
        <v>179</v>
      </c>
      <c r="H90" s="258">
        <v>78</v>
      </c>
      <c r="I90" s="21">
        <v>1</v>
      </c>
      <c r="J90" s="21">
        <v>44</v>
      </c>
      <c r="K90" s="21">
        <v>1.5</v>
      </c>
      <c r="L90" s="21">
        <v>46.4</v>
      </c>
    </row>
    <row r="91" spans="1:12" x14ac:dyDescent="0.3">
      <c r="A91" s="49">
        <v>1</v>
      </c>
      <c r="B91" s="257" t="s">
        <v>495</v>
      </c>
      <c r="C91" s="257" t="s">
        <v>269</v>
      </c>
      <c r="D91" s="21" t="s">
        <v>277</v>
      </c>
      <c r="E91" s="46">
        <v>111</v>
      </c>
      <c r="F91" s="110">
        <v>29103</v>
      </c>
      <c r="G91" s="21">
        <v>180</v>
      </c>
      <c r="H91" s="258">
        <v>80</v>
      </c>
      <c r="I91" s="21">
        <v>0</v>
      </c>
      <c r="J91" s="21">
        <v>31</v>
      </c>
      <c r="K91" s="21">
        <v>1.5</v>
      </c>
      <c r="L91" s="21">
        <v>40.299999999999997</v>
      </c>
    </row>
    <row r="92" spans="1:12" x14ac:dyDescent="0.3">
      <c r="A92" s="49">
        <v>1</v>
      </c>
      <c r="B92" s="257" t="s">
        <v>497</v>
      </c>
      <c r="C92" s="257" t="s">
        <v>429</v>
      </c>
      <c r="D92" s="21" t="s">
        <v>276</v>
      </c>
      <c r="E92" s="46">
        <v>111</v>
      </c>
      <c r="F92" s="110">
        <v>26912</v>
      </c>
      <c r="G92" s="21">
        <v>180</v>
      </c>
      <c r="H92" s="258">
        <v>78</v>
      </c>
      <c r="I92" s="21">
        <v>1</v>
      </c>
      <c r="J92" s="21">
        <v>64</v>
      </c>
      <c r="K92" s="21">
        <v>1.1000000000000001</v>
      </c>
      <c r="L92" s="21">
        <v>83.2</v>
      </c>
    </row>
    <row r="93" spans="1:12" x14ac:dyDescent="0.3">
      <c r="A93" s="49">
        <v>0</v>
      </c>
      <c r="B93" s="257" t="s">
        <v>499</v>
      </c>
      <c r="C93" s="257" t="s">
        <v>274</v>
      </c>
      <c r="D93" s="21" t="s">
        <v>279</v>
      </c>
      <c r="E93" s="46">
        <v>201</v>
      </c>
      <c r="F93" s="110">
        <v>28397</v>
      </c>
      <c r="G93" s="21">
        <v>180</v>
      </c>
      <c r="H93" s="258">
        <v>78</v>
      </c>
      <c r="I93" s="21">
        <v>0</v>
      </c>
      <c r="J93" s="21">
        <v>22</v>
      </c>
      <c r="K93" s="21">
        <v>1.2</v>
      </c>
      <c r="L93" s="21">
        <v>72.8</v>
      </c>
    </row>
    <row r="94" spans="1:12" x14ac:dyDescent="0.3">
      <c r="A94" s="49">
        <v>1</v>
      </c>
      <c r="B94" s="257" t="s">
        <v>501</v>
      </c>
      <c r="C94" s="257" t="s">
        <v>201</v>
      </c>
      <c r="D94" s="21" t="s">
        <v>277</v>
      </c>
      <c r="E94" s="46">
        <v>111</v>
      </c>
      <c r="F94" s="110">
        <v>28725</v>
      </c>
      <c r="G94" s="21">
        <v>170</v>
      </c>
      <c r="H94" s="21">
        <v>56</v>
      </c>
      <c r="I94" s="21">
        <v>0</v>
      </c>
      <c r="J94" s="21">
        <v>31</v>
      </c>
      <c r="K94" s="21">
        <v>1.5</v>
      </c>
      <c r="L94" s="21">
        <v>40.299999999999997</v>
      </c>
    </row>
    <row r="95" spans="1:12" x14ac:dyDescent="0.3">
      <c r="A95" s="49">
        <v>1</v>
      </c>
      <c r="B95" s="257" t="s">
        <v>502</v>
      </c>
      <c r="C95" s="257" t="s">
        <v>266</v>
      </c>
      <c r="D95" s="21" t="s">
        <v>622</v>
      </c>
      <c r="E95" s="46">
        <v>311</v>
      </c>
      <c r="F95" s="110">
        <v>28622</v>
      </c>
      <c r="G95" s="21">
        <v>175</v>
      </c>
      <c r="H95" s="258">
        <v>68</v>
      </c>
      <c r="I95" s="21">
        <v>0</v>
      </c>
      <c r="J95" s="21">
        <v>29</v>
      </c>
      <c r="K95" s="21">
        <v>1.3</v>
      </c>
      <c r="L95" s="21">
        <v>54</v>
      </c>
    </row>
    <row r="96" spans="1:12" x14ac:dyDescent="0.3">
      <c r="A96" s="49">
        <v>0</v>
      </c>
      <c r="B96" s="257" t="s">
        <v>504</v>
      </c>
      <c r="C96" s="257" t="s">
        <v>273</v>
      </c>
      <c r="D96" s="148" t="s">
        <v>622</v>
      </c>
      <c r="E96" s="46">
        <v>111</v>
      </c>
      <c r="F96" s="149">
        <v>28564</v>
      </c>
      <c r="G96" s="21">
        <v>182</v>
      </c>
      <c r="H96" s="21">
        <v>76</v>
      </c>
      <c r="I96" s="258">
        <v>0</v>
      </c>
      <c r="J96" s="258">
        <v>56</v>
      </c>
      <c r="K96" s="258">
        <v>1.2</v>
      </c>
      <c r="L96" s="258">
        <v>74.2</v>
      </c>
    </row>
    <row r="97" spans="1:12" x14ac:dyDescent="0.3">
      <c r="A97" s="49">
        <v>1</v>
      </c>
      <c r="B97" s="257" t="s">
        <v>463</v>
      </c>
      <c r="C97" s="257" t="s">
        <v>195</v>
      </c>
      <c r="D97" s="148" t="s">
        <v>279</v>
      </c>
      <c r="E97" s="46">
        <v>211</v>
      </c>
      <c r="F97" s="149">
        <v>28725</v>
      </c>
      <c r="G97" s="21">
        <v>175</v>
      </c>
      <c r="H97" s="21">
        <v>56</v>
      </c>
      <c r="I97" s="21">
        <v>1</v>
      </c>
      <c r="J97" s="21">
        <v>36</v>
      </c>
      <c r="K97" s="21">
        <v>1.5</v>
      </c>
      <c r="L97" s="21">
        <v>61.6</v>
      </c>
    </row>
    <row r="98" spans="1:12" x14ac:dyDescent="0.3">
      <c r="A98" s="49">
        <v>1</v>
      </c>
      <c r="B98" s="257" t="s">
        <v>507</v>
      </c>
      <c r="C98" s="257" t="s">
        <v>448</v>
      </c>
      <c r="D98" s="148" t="s">
        <v>277</v>
      </c>
      <c r="E98" s="46">
        <v>311</v>
      </c>
      <c r="F98" s="149">
        <v>26912</v>
      </c>
      <c r="G98" s="21">
        <v>180</v>
      </c>
      <c r="H98" s="21">
        <v>78</v>
      </c>
      <c r="I98" s="21">
        <v>1</v>
      </c>
      <c r="J98" s="21">
        <v>36</v>
      </c>
      <c r="K98" s="21">
        <v>1.5</v>
      </c>
      <c r="L98" s="21">
        <v>61.6</v>
      </c>
    </row>
    <row r="99" spans="1:12" x14ac:dyDescent="0.3">
      <c r="A99" s="49">
        <v>0</v>
      </c>
      <c r="B99" s="257" t="s">
        <v>508</v>
      </c>
      <c r="C99" s="257" t="s">
        <v>268</v>
      </c>
      <c r="D99" s="148" t="s">
        <v>277</v>
      </c>
      <c r="E99" s="46">
        <v>111</v>
      </c>
      <c r="F99" s="149">
        <v>28622</v>
      </c>
      <c r="G99" s="21">
        <v>176</v>
      </c>
      <c r="H99" s="21">
        <v>68</v>
      </c>
      <c r="I99" s="258">
        <v>1</v>
      </c>
      <c r="J99" s="258">
        <v>45</v>
      </c>
      <c r="K99" s="258">
        <v>1.4</v>
      </c>
      <c r="L99" s="258">
        <v>68.2</v>
      </c>
    </row>
    <row r="100" spans="1:12" x14ac:dyDescent="0.3">
      <c r="A100" s="49">
        <v>0</v>
      </c>
      <c r="B100" s="257" t="s">
        <v>509</v>
      </c>
      <c r="C100" s="257" t="s">
        <v>510</v>
      </c>
      <c r="D100" s="148" t="s">
        <v>277</v>
      </c>
      <c r="E100" s="46">
        <v>211</v>
      </c>
      <c r="F100" s="149">
        <v>28624</v>
      </c>
      <c r="G100" s="21">
        <v>185</v>
      </c>
      <c r="H100" s="21">
        <v>76</v>
      </c>
      <c r="I100" s="21">
        <v>0</v>
      </c>
      <c r="J100" s="21">
        <v>36</v>
      </c>
      <c r="K100" s="21">
        <v>1.2</v>
      </c>
      <c r="L100" s="21">
        <v>43.2</v>
      </c>
    </row>
    <row r="101" spans="1:12" x14ac:dyDescent="0.3">
      <c r="A101" s="49">
        <v>1</v>
      </c>
      <c r="B101" s="257" t="s">
        <v>252</v>
      </c>
      <c r="C101" s="257" t="s">
        <v>195</v>
      </c>
      <c r="D101" s="148" t="s">
        <v>276</v>
      </c>
      <c r="E101" s="46">
        <v>201</v>
      </c>
      <c r="F101" s="149">
        <v>26879</v>
      </c>
      <c r="G101" s="21">
        <v>185</v>
      </c>
      <c r="H101" s="21">
        <v>75</v>
      </c>
      <c r="I101" s="258">
        <v>0</v>
      </c>
      <c r="J101" s="258">
        <v>34</v>
      </c>
      <c r="K101" s="258">
        <v>1.3</v>
      </c>
      <c r="L101" s="258">
        <v>35.4</v>
      </c>
    </row>
    <row r="102" spans="1:12" x14ac:dyDescent="0.3">
      <c r="A102" s="49">
        <v>0</v>
      </c>
      <c r="B102" s="257" t="s">
        <v>512</v>
      </c>
      <c r="C102" s="257" t="s">
        <v>513</v>
      </c>
      <c r="D102" s="148" t="s">
        <v>276</v>
      </c>
      <c r="E102" s="46">
        <v>211</v>
      </c>
      <c r="F102" s="149">
        <v>28397</v>
      </c>
      <c r="G102" s="21">
        <v>180</v>
      </c>
      <c r="H102" s="21">
        <v>78</v>
      </c>
      <c r="I102" s="21">
        <v>0</v>
      </c>
      <c r="J102" s="21">
        <v>66</v>
      </c>
      <c r="K102" s="21">
        <v>1.4</v>
      </c>
      <c r="L102" s="21">
        <v>46.9</v>
      </c>
    </row>
    <row r="103" spans="1:12" x14ac:dyDescent="0.3">
      <c r="A103" s="49">
        <v>1</v>
      </c>
      <c r="B103" s="257" t="s">
        <v>515</v>
      </c>
      <c r="C103" s="257" t="s">
        <v>386</v>
      </c>
      <c r="D103" s="148" t="s">
        <v>276</v>
      </c>
      <c r="E103" s="46">
        <v>111</v>
      </c>
      <c r="F103" s="149">
        <v>29103</v>
      </c>
      <c r="G103" s="21">
        <v>180</v>
      </c>
      <c r="H103" s="21">
        <v>80</v>
      </c>
      <c r="I103" s="258">
        <v>1</v>
      </c>
      <c r="J103" s="258">
        <v>29</v>
      </c>
      <c r="K103" s="258">
        <v>1.2</v>
      </c>
      <c r="L103" s="258">
        <v>41.9</v>
      </c>
    </row>
    <row r="104" spans="1:12" x14ac:dyDescent="0.3">
      <c r="A104" s="49">
        <v>1</v>
      </c>
      <c r="B104" s="257" t="s">
        <v>517</v>
      </c>
      <c r="C104" s="257" t="s">
        <v>518</v>
      </c>
      <c r="D104" s="21" t="s">
        <v>278</v>
      </c>
      <c r="E104" s="46">
        <v>111</v>
      </c>
      <c r="F104" s="110">
        <v>28197</v>
      </c>
      <c r="G104" s="21">
        <v>182</v>
      </c>
      <c r="H104" s="258">
        <v>55</v>
      </c>
      <c r="I104" s="21">
        <v>1</v>
      </c>
      <c r="J104" s="21">
        <v>36</v>
      </c>
      <c r="K104" s="21">
        <v>1.4</v>
      </c>
      <c r="L104" s="21">
        <v>54.2</v>
      </c>
    </row>
    <row r="105" spans="1:12" x14ac:dyDescent="0.3">
      <c r="A105" s="49">
        <v>1</v>
      </c>
      <c r="B105" s="257" t="s">
        <v>519</v>
      </c>
      <c r="C105" s="257" t="s">
        <v>266</v>
      </c>
      <c r="D105" s="21" t="s">
        <v>276</v>
      </c>
      <c r="E105" s="46">
        <v>201</v>
      </c>
      <c r="F105" s="110">
        <v>27496</v>
      </c>
      <c r="G105" s="21">
        <v>178</v>
      </c>
      <c r="H105" s="258">
        <v>69</v>
      </c>
      <c r="I105" s="21">
        <v>0</v>
      </c>
      <c r="J105" s="21">
        <v>29</v>
      </c>
      <c r="K105" s="21">
        <v>1.3</v>
      </c>
      <c r="L105" s="21">
        <v>54</v>
      </c>
    </row>
    <row r="106" spans="1:12" x14ac:dyDescent="0.3">
      <c r="A106" s="49">
        <v>1</v>
      </c>
      <c r="B106" s="257" t="s">
        <v>521</v>
      </c>
      <c r="C106" s="257" t="s">
        <v>386</v>
      </c>
      <c r="D106" s="21" t="s">
        <v>276</v>
      </c>
      <c r="E106" s="46">
        <v>111</v>
      </c>
      <c r="F106" s="110">
        <v>26879</v>
      </c>
      <c r="G106" s="21">
        <v>185</v>
      </c>
      <c r="H106" s="21">
        <v>75</v>
      </c>
      <c r="I106" s="21">
        <v>1</v>
      </c>
      <c r="J106" s="21">
        <v>45</v>
      </c>
      <c r="K106" s="21">
        <v>1.4</v>
      </c>
      <c r="L106" s="21">
        <v>67.5</v>
      </c>
    </row>
    <row r="107" spans="1:12" x14ac:dyDescent="0.3">
      <c r="A107" s="49">
        <v>1</v>
      </c>
      <c r="B107" s="257" t="s">
        <v>522</v>
      </c>
      <c r="C107" s="257" t="s">
        <v>429</v>
      </c>
      <c r="D107" s="21" t="s">
        <v>278</v>
      </c>
      <c r="E107" s="46">
        <v>311</v>
      </c>
      <c r="F107" s="110">
        <v>28614</v>
      </c>
      <c r="G107" s="21">
        <v>185</v>
      </c>
      <c r="H107" s="258">
        <v>78</v>
      </c>
      <c r="I107" s="21">
        <v>0</v>
      </c>
      <c r="J107" s="21">
        <v>36</v>
      </c>
      <c r="K107" s="21">
        <v>1.6</v>
      </c>
      <c r="L107" s="21">
        <v>105</v>
      </c>
    </row>
    <row r="108" spans="1:12" x14ac:dyDescent="0.3">
      <c r="A108" s="49">
        <v>1</v>
      </c>
      <c r="B108" s="257" t="s">
        <v>524</v>
      </c>
      <c r="C108" s="257" t="s">
        <v>525</v>
      </c>
      <c r="D108" s="21" t="s">
        <v>279</v>
      </c>
      <c r="E108" s="46">
        <v>111</v>
      </c>
      <c r="F108" s="110">
        <v>28725</v>
      </c>
      <c r="G108" s="21">
        <v>174</v>
      </c>
      <c r="H108" s="21">
        <v>56</v>
      </c>
      <c r="I108" s="21">
        <v>0</v>
      </c>
      <c r="J108" s="21">
        <v>66</v>
      </c>
      <c r="K108" s="21">
        <v>1.4</v>
      </c>
      <c r="L108" s="21">
        <v>46.9</v>
      </c>
    </row>
    <row r="109" spans="1:12" x14ac:dyDescent="0.3">
      <c r="A109" s="49">
        <v>0</v>
      </c>
      <c r="B109" s="257" t="s">
        <v>526</v>
      </c>
      <c r="C109" s="257" t="s">
        <v>268</v>
      </c>
      <c r="D109" s="21" t="s">
        <v>281</v>
      </c>
      <c r="E109" s="46">
        <v>211</v>
      </c>
      <c r="F109" s="110">
        <v>28271</v>
      </c>
      <c r="G109" s="21">
        <v>152</v>
      </c>
      <c r="H109" s="258">
        <v>65</v>
      </c>
      <c r="I109" s="21">
        <v>0</v>
      </c>
      <c r="J109" s="21">
        <v>75</v>
      </c>
      <c r="K109" s="21">
        <v>1.3</v>
      </c>
      <c r="L109" s="21">
        <v>79.2</v>
      </c>
    </row>
    <row r="110" spans="1:12" x14ac:dyDescent="0.3">
      <c r="A110" s="49">
        <v>1</v>
      </c>
      <c r="B110" s="257" t="s">
        <v>527</v>
      </c>
      <c r="C110" s="257" t="s">
        <v>195</v>
      </c>
      <c r="D110" s="21" t="s">
        <v>277</v>
      </c>
      <c r="E110" s="46">
        <v>311</v>
      </c>
      <c r="F110" s="110">
        <v>28160</v>
      </c>
      <c r="G110" s="21">
        <v>179</v>
      </c>
      <c r="H110" s="258">
        <v>78</v>
      </c>
      <c r="I110" s="21">
        <v>0</v>
      </c>
      <c r="J110" s="21">
        <v>36</v>
      </c>
      <c r="K110" s="21">
        <v>1.6</v>
      </c>
      <c r="L110" s="21">
        <v>105</v>
      </c>
    </row>
    <row r="111" spans="1:12" x14ac:dyDescent="0.3">
      <c r="A111" s="49">
        <v>1</v>
      </c>
      <c r="B111" s="257" t="s">
        <v>529</v>
      </c>
      <c r="C111" s="257" t="s">
        <v>530</v>
      </c>
      <c r="D111" s="21" t="s">
        <v>276</v>
      </c>
      <c r="E111" s="46">
        <v>111</v>
      </c>
      <c r="F111" s="110">
        <v>29103</v>
      </c>
      <c r="G111" s="21">
        <v>180</v>
      </c>
      <c r="H111" s="258">
        <v>80</v>
      </c>
      <c r="I111" s="21">
        <v>1</v>
      </c>
      <c r="J111" s="21">
        <v>52</v>
      </c>
      <c r="K111" s="21">
        <v>1.4</v>
      </c>
      <c r="L111" s="21">
        <v>73.7</v>
      </c>
    </row>
    <row r="112" spans="1:12" x14ac:dyDescent="0.3">
      <c r="A112" s="49">
        <v>1</v>
      </c>
      <c r="B112" s="257" t="s">
        <v>532</v>
      </c>
      <c r="C112" s="257" t="s">
        <v>533</v>
      </c>
      <c r="D112" s="21" t="s">
        <v>277</v>
      </c>
      <c r="E112" s="46">
        <v>211</v>
      </c>
      <c r="F112" s="110">
        <v>26912</v>
      </c>
      <c r="G112" s="21">
        <v>180</v>
      </c>
      <c r="H112" s="258">
        <v>78</v>
      </c>
      <c r="I112" s="21">
        <v>1</v>
      </c>
      <c r="J112" s="21">
        <v>64</v>
      </c>
      <c r="K112" s="21">
        <v>1.1000000000000001</v>
      </c>
      <c r="L112" s="21">
        <v>83.2</v>
      </c>
    </row>
    <row r="113" spans="1:12" x14ac:dyDescent="0.3">
      <c r="A113" s="49">
        <v>0</v>
      </c>
      <c r="B113" s="257" t="s">
        <v>534</v>
      </c>
      <c r="C113" s="257" t="s">
        <v>535</v>
      </c>
      <c r="D113" s="21" t="s">
        <v>276</v>
      </c>
      <c r="E113" s="46">
        <v>201</v>
      </c>
      <c r="F113" s="110">
        <v>28397</v>
      </c>
      <c r="G113" s="21">
        <v>180</v>
      </c>
      <c r="H113" s="258">
        <v>78</v>
      </c>
      <c r="I113" s="21">
        <v>0</v>
      </c>
      <c r="J113" s="21">
        <v>75</v>
      </c>
      <c r="K113" s="21">
        <v>1.3</v>
      </c>
      <c r="L113" s="21">
        <v>79.2</v>
      </c>
    </row>
    <row r="114" spans="1:12" x14ac:dyDescent="0.3">
      <c r="A114" s="49">
        <v>1</v>
      </c>
      <c r="B114" s="257" t="s">
        <v>536</v>
      </c>
      <c r="C114" s="257" t="s">
        <v>485</v>
      </c>
      <c r="D114" s="21" t="s">
        <v>279</v>
      </c>
      <c r="E114" s="46">
        <v>211</v>
      </c>
      <c r="F114" s="110">
        <v>28725</v>
      </c>
      <c r="G114" s="21">
        <v>170</v>
      </c>
      <c r="H114" s="21">
        <v>56</v>
      </c>
      <c r="I114" s="21">
        <v>1</v>
      </c>
      <c r="J114" s="21">
        <v>52</v>
      </c>
      <c r="K114" s="21">
        <v>1.4</v>
      </c>
      <c r="L114" s="21">
        <v>73.7</v>
      </c>
    </row>
    <row r="115" spans="1:12" x14ac:dyDescent="0.3">
      <c r="A115" s="49">
        <v>0</v>
      </c>
      <c r="B115" s="257" t="s">
        <v>537</v>
      </c>
      <c r="C115" s="257" t="s">
        <v>538</v>
      </c>
      <c r="D115" s="21" t="s">
        <v>277</v>
      </c>
      <c r="E115" s="46">
        <v>111</v>
      </c>
      <c r="F115" s="110">
        <v>28622</v>
      </c>
      <c r="G115" s="21">
        <v>175</v>
      </c>
      <c r="H115" s="258">
        <v>68</v>
      </c>
      <c r="I115" s="258">
        <v>0</v>
      </c>
      <c r="J115" s="258">
        <v>34</v>
      </c>
      <c r="K115" s="258">
        <v>1.1000000000000001</v>
      </c>
      <c r="L115" s="258">
        <v>54.6</v>
      </c>
    </row>
    <row r="116" spans="1:12" x14ac:dyDescent="0.3">
      <c r="A116" s="49">
        <v>1</v>
      </c>
      <c r="B116" s="257" t="s">
        <v>540</v>
      </c>
      <c r="C116" s="257" t="s">
        <v>482</v>
      </c>
      <c r="D116" s="21" t="s">
        <v>622</v>
      </c>
      <c r="E116" s="46">
        <v>111</v>
      </c>
      <c r="F116" s="149">
        <v>28564</v>
      </c>
      <c r="G116" s="21">
        <v>182</v>
      </c>
      <c r="H116" s="21">
        <v>76</v>
      </c>
      <c r="I116" s="21">
        <v>1</v>
      </c>
      <c r="J116" s="21">
        <v>44</v>
      </c>
      <c r="K116" s="21">
        <v>1.5</v>
      </c>
      <c r="L116" s="21">
        <v>46.4</v>
      </c>
    </row>
    <row r="117" spans="1:12" x14ac:dyDescent="0.3">
      <c r="A117" s="49">
        <v>1</v>
      </c>
      <c r="B117" s="257" t="s">
        <v>541</v>
      </c>
      <c r="C117" s="257" t="s">
        <v>425</v>
      </c>
      <c r="D117" s="21" t="s">
        <v>277</v>
      </c>
      <c r="E117" s="46">
        <v>201</v>
      </c>
      <c r="F117" s="149">
        <v>28725</v>
      </c>
      <c r="G117" s="21">
        <v>175</v>
      </c>
      <c r="H117" s="21">
        <v>56</v>
      </c>
      <c r="I117" s="21">
        <v>0</v>
      </c>
      <c r="J117" s="21">
        <v>31</v>
      </c>
      <c r="K117" s="21">
        <v>1.5</v>
      </c>
      <c r="L117" s="21">
        <v>40.299999999999997</v>
      </c>
    </row>
    <row r="118" spans="1:12" x14ac:dyDescent="0.3">
      <c r="A118" s="49">
        <v>1</v>
      </c>
      <c r="B118" s="257" t="s">
        <v>542</v>
      </c>
      <c r="C118" s="257" t="s">
        <v>543</v>
      </c>
      <c r="D118" s="148" t="s">
        <v>279</v>
      </c>
      <c r="E118" s="46">
        <v>111</v>
      </c>
      <c r="F118" s="149">
        <v>26912</v>
      </c>
      <c r="G118" s="21">
        <v>180</v>
      </c>
      <c r="H118" s="21">
        <v>78</v>
      </c>
      <c r="I118" s="21">
        <v>1</v>
      </c>
      <c r="J118" s="21">
        <v>64</v>
      </c>
      <c r="K118" s="21">
        <v>1.1000000000000001</v>
      </c>
      <c r="L118" s="21">
        <v>83.2</v>
      </c>
    </row>
    <row r="119" spans="1:12" x14ac:dyDescent="0.3">
      <c r="A119" s="49">
        <v>1</v>
      </c>
      <c r="B119" s="257" t="s">
        <v>545</v>
      </c>
      <c r="C119" s="257" t="s">
        <v>201</v>
      </c>
      <c r="D119" s="148" t="s">
        <v>279</v>
      </c>
      <c r="E119" s="46">
        <v>555</v>
      </c>
      <c r="F119" s="149">
        <v>28622</v>
      </c>
      <c r="G119" s="21">
        <v>176</v>
      </c>
      <c r="H119" s="21">
        <v>68</v>
      </c>
      <c r="I119" s="21">
        <v>0</v>
      </c>
      <c r="J119" s="21">
        <v>22</v>
      </c>
      <c r="K119" s="21">
        <v>1.2</v>
      </c>
      <c r="L119" s="21">
        <v>72.8</v>
      </c>
    </row>
    <row r="120" spans="1:12" x14ac:dyDescent="0.3">
      <c r="A120" s="49">
        <v>1</v>
      </c>
      <c r="B120" s="257" t="s">
        <v>547</v>
      </c>
      <c r="C120" s="257" t="s">
        <v>548</v>
      </c>
      <c r="D120" s="148" t="s">
        <v>277</v>
      </c>
      <c r="E120" s="46">
        <v>111</v>
      </c>
      <c r="F120" s="149">
        <v>28624</v>
      </c>
      <c r="G120" s="21">
        <v>185</v>
      </c>
      <c r="H120" s="21">
        <v>76</v>
      </c>
      <c r="I120" s="21">
        <v>0</v>
      </c>
      <c r="J120" s="21">
        <v>31</v>
      </c>
      <c r="K120" s="21">
        <v>1.5</v>
      </c>
      <c r="L120" s="21">
        <v>40.299999999999997</v>
      </c>
    </row>
    <row r="121" spans="1:12" x14ac:dyDescent="0.3">
      <c r="A121" s="49">
        <v>1</v>
      </c>
      <c r="B121" s="257" t="s">
        <v>549</v>
      </c>
      <c r="C121" s="257" t="s">
        <v>550</v>
      </c>
      <c r="D121" s="148" t="s">
        <v>277</v>
      </c>
      <c r="E121" s="46">
        <v>211</v>
      </c>
      <c r="F121" s="149">
        <v>26879</v>
      </c>
      <c r="G121" s="21">
        <v>185</v>
      </c>
      <c r="H121" s="21">
        <v>75</v>
      </c>
      <c r="I121" s="21">
        <v>0</v>
      </c>
      <c r="J121" s="21">
        <v>29</v>
      </c>
      <c r="K121" s="21">
        <v>1.3</v>
      </c>
      <c r="L121" s="21">
        <v>54</v>
      </c>
    </row>
    <row r="122" spans="1:12" x14ac:dyDescent="0.3">
      <c r="A122" s="49">
        <v>1</v>
      </c>
      <c r="B122" s="257" t="s">
        <v>551</v>
      </c>
      <c r="C122" s="257" t="s">
        <v>533</v>
      </c>
      <c r="D122" s="148" t="s">
        <v>277</v>
      </c>
      <c r="E122" s="46">
        <v>311</v>
      </c>
      <c r="F122" s="149">
        <v>28397</v>
      </c>
      <c r="G122" s="21">
        <v>180</v>
      </c>
      <c r="H122" s="21">
        <v>78</v>
      </c>
      <c r="I122" s="258">
        <v>0</v>
      </c>
      <c r="J122" s="258">
        <v>56</v>
      </c>
      <c r="K122" s="258">
        <v>1.2</v>
      </c>
      <c r="L122" s="258">
        <v>74.2</v>
      </c>
    </row>
    <row r="123" spans="1:12" x14ac:dyDescent="0.3">
      <c r="A123" s="49">
        <v>1</v>
      </c>
      <c r="B123" s="257" t="s">
        <v>552</v>
      </c>
      <c r="C123" s="257" t="s">
        <v>195</v>
      </c>
      <c r="D123" s="148" t="s">
        <v>276</v>
      </c>
      <c r="E123" s="46">
        <v>111</v>
      </c>
      <c r="F123" s="149">
        <v>29103</v>
      </c>
      <c r="G123" s="21">
        <v>180</v>
      </c>
      <c r="H123" s="21">
        <v>80</v>
      </c>
      <c r="I123" s="21">
        <v>1</v>
      </c>
      <c r="J123" s="21">
        <v>36</v>
      </c>
      <c r="K123" s="21">
        <v>1.5</v>
      </c>
      <c r="L123" s="21">
        <v>61.6</v>
      </c>
    </row>
    <row r="124" spans="1:12" x14ac:dyDescent="0.3">
      <c r="A124" s="49">
        <v>1</v>
      </c>
      <c r="B124" s="257" t="s">
        <v>554</v>
      </c>
      <c r="C124" s="257" t="s">
        <v>464</v>
      </c>
      <c r="D124" s="148" t="s">
        <v>276</v>
      </c>
      <c r="E124" s="46">
        <v>211</v>
      </c>
      <c r="F124" s="110">
        <v>28197</v>
      </c>
      <c r="G124" s="21">
        <v>182</v>
      </c>
      <c r="H124" s="258">
        <v>55</v>
      </c>
      <c r="I124" s="21">
        <v>1</v>
      </c>
      <c r="J124" s="21">
        <v>36</v>
      </c>
      <c r="K124" s="21">
        <v>1.5</v>
      </c>
      <c r="L124" s="21">
        <v>61.6</v>
      </c>
    </row>
    <row r="125" spans="1:12" x14ac:dyDescent="0.3">
      <c r="A125" s="49">
        <v>0</v>
      </c>
      <c r="B125" s="257" t="s">
        <v>556</v>
      </c>
      <c r="C125" s="257" t="s">
        <v>513</v>
      </c>
      <c r="D125" s="148" t="s">
        <v>276</v>
      </c>
      <c r="E125" s="46">
        <v>201</v>
      </c>
      <c r="F125" s="110">
        <v>27496</v>
      </c>
      <c r="G125" s="21">
        <v>178</v>
      </c>
      <c r="H125" s="258">
        <v>69</v>
      </c>
      <c r="I125" s="258">
        <v>1</v>
      </c>
      <c r="J125" s="258">
        <v>45</v>
      </c>
      <c r="K125" s="258">
        <v>1.4</v>
      </c>
      <c r="L125" s="258">
        <v>68.2</v>
      </c>
    </row>
    <row r="126" spans="1:12" x14ac:dyDescent="0.3">
      <c r="A126" s="49">
        <v>1</v>
      </c>
      <c r="B126" s="257" t="s">
        <v>557</v>
      </c>
      <c r="C126" s="257" t="s">
        <v>485</v>
      </c>
      <c r="D126" s="21" t="s">
        <v>278</v>
      </c>
      <c r="E126" s="46">
        <v>211</v>
      </c>
      <c r="F126" s="110">
        <v>26879</v>
      </c>
      <c r="G126" s="21">
        <v>185</v>
      </c>
      <c r="H126" s="21">
        <v>75</v>
      </c>
      <c r="I126" s="21">
        <v>0</v>
      </c>
      <c r="J126" s="21">
        <v>36</v>
      </c>
      <c r="K126" s="21">
        <v>1.2</v>
      </c>
      <c r="L126" s="21">
        <v>43.2</v>
      </c>
    </row>
    <row r="127" spans="1:12" ht="15" thickBot="1" x14ac:dyDescent="0.35">
      <c r="A127" s="265">
        <v>1</v>
      </c>
      <c r="B127" s="261" t="s">
        <v>558</v>
      </c>
      <c r="C127" s="261" t="s">
        <v>559</v>
      </c>
      <c r="D127" s="260" t="s">
        <v>276</v>
      </c>
      <c r="E127" s="267">
        <v>111</v>
      </c>
      <c r="F127" s="263">
        <v>28614</v>
      </c>
      <c r="G127" s="260">
        <v>185</v>
      </c>
      <c r="H127" s="264">
        <v>78</v>
      </c>
      <c r="I127" s="264">
        <v>0</v>
      </c>
      <c r="J127" s="264">
        <v>34</v>
      </c>
      <c r="K127" s="264">
        <v>1.3</v>
      </c>
      <c r="L127" s="264">
        <v>35.4</v>
      </c>
    </row>
    <row r="128" spans="1:12" x14ac:dyDescent="0.3">
      <c r="F128" s="28"/>
      <c r="H128" s="141"/>
    </row>
    <row r="129" spans="1:12" ht="86.25" customHeight="1" x14ac:dyDescent="0.3">
      <c r="A129" s="301" t="s">
        <v>1171</v>
      </c>
      <c r="B129" s="301"/>
      <c r="C129" s="301"/>
      <c r="D129" s="301"/>
      <c r="E129" s="301"/>
      <c r="F129" s="301"/>
      <c r="G129" s="301"/>
      <c r="H129" s="301"/>
      <c r="I129" s="301"/>
      <c r="J129" s="301"/>
      <c r="K129" s="301"/>
      <c r="L129" s="301"/>
    </row>
    <row r="130" spans="1:12" x14ac:dyDescent="0.3">
      <c r="A130" t="s">
        <v>1172</v>
      </c>
    </row>
    <row r="131" spans="1:12" x14ac:dyDescent="0.3">
      <c r="A131" t="s">
        <v>1173</v>
      </c>
    </row>
    <row r="132" spans="1:12" x14ac:dyDescent="0.3">
      <c r="A132" t="s">
        <v>679</v>
      </c>
    </row>
  </sheetData>
  <mergeCells count="1">
    <mergeCell ref="A129:L129"/>
  </mergeCells>
  <dataValidations count="3">
    <dataValidation type="whole" allowBlank="1" showInputMessage="1" showErrorMessage="1" sqref="H4:H32 H128">
      <formula1>50</formula1>
      <formula2>100</formula2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4:G32 G128">
      <formula1>150</formula1>
      <formula2>190</formula2>
    </dataValidation>
    <dataValidation type="list" allowBlank="1" showInputMessage="1" showErrorMessage="1" sqref="E4:E32 E128">
      <formula1>"101,111,201,211,311"</formula1>
    </dataValidation>
  </dataValidations>
  <hyperlinks>
    <hyperlink ref="O1" location="Obsah!A1" display="Obsah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rgb="FF92D050"/>
  </sheetPr>
  <dimension ref="A1:N129"/>
  <sheetViews>
    <sheetView workbookViewId="0">
      <selection activeCell="M1" sqref="M1"/>
    </sheetView>
  </sheetViews>
  <sheetFormatPr defaultRowHeight="14.4" x14ac:dyDescent="0.3"/>
  <cols>
    <col min="1" max="1" width="9.109375" style="203"/>
    <col min="2" max="2" width="15.44140625" customWidth="1"/>
    <col min="3" max="3" width="12" customWidth="1"/>
    <col min="6" max="6" width="12.6640625" customWidth="1"/>
  </cols>
  <sheetData>
    <row r="1" spans="1:14" ht="21" x14ac:dyDescent="0.4">
      <c r="A1" s="266" t="s">
        <v>284</v>
      </c>
      <c r="N1" s="182" t="s">
        <v>1148</v>
      </c>
    </row>
    <row r="2" spans="1:14" ht="15" thickBot="1" x14ac:dyDescent="0.35"/>
    <row r="3" spans="1:14" ht="15" thickBot="1" x14ac:dyDescent="0.35">
      <c r="A3" s="268" t="s">
        <v>243</v>
      </c>
      <c r="B3" s="269" t="s">
        <v>178</v>
      </c>
      <c r="C3" s="269" t="s">
        <v>244</v>
      </c>
      <c r="D3" s="269" t="s">
        <v>245</v>
      </c>
      <c r="E3" s="269" t="s">
        <v>246</v>
      </c>
      <c r="F3" s="269" t="s">
        <v>1</v>
      </c>
      <c r="G3" s="269" t="s">
        <v>247</v>
      </c>
      <c r="H3" s="269" t="s">
        <v>248</v>
      </c>
      <c r="I3" s="269" t="s">
        <v>250</v>
      </c>
      <c r="J3" s="269" t="s">
        <v>1174</v>
      </c>
      <c r="K3" s="269" t="s">
        <v>251</v>
      </c>
    </row>
    <row r="4" spans="1:14" x14ac:dyDescent="0.3">
      <c r="A4" s="203">
        <v>0</v>
      </c>
      <c r="B4" t="s">
        <v>253</v>
      </c>
      <c r="C4" t="s">
        <v>264</v>
      </c>
      <c r="D4" t="s">
        <v>277</v>
      </c>
      <c r="E4">
        <v>201</v>
      </c>
      <c r="F4" s="28">
        <v>26912</v>
      </c>
      <c r="G4">
        <v>180</v>
      </c>
      <c r="H4" s="141">
        <v>78</v>
      </c>
      <c r="I4">
        <v>45</v>
      </c>
      <c r="J4">
        <v>1400</v>
      </c>
      <c r="K4">
        <v>67.5</v>
      </c>
    </row>
    <row r="5" spans="1:14" x14ac:dyDescent="0.3">
      <c r="A5" s="49">
        <v>1</v>
      </c>
      <c r="B5" s="21" t="s">
        <v>631</v>
      </c>
      <c r="C5" s="21" t="s">
        <v>639</v>
      </c>
      <c r="D5" s="21" t="s">
        <v>276</v>
      </c>
      <c r="E5" s="21">
        <v>201</v>
      </c>
      <c r="F5" s="110">
        <v>28397</v>
      </c>
      <c r="G5" s="21">
        <v>180</v>
      </c>
      <c r="H5" s="258">
        <v>78</v>
      </c>
      <c r="I5" s="21">
        <v>36</v>
      </c>
      <c r="J5" s="21">
        <v>1600</v>
      </c>
      <c r="K5" s="21">
        <v>105</v>
      </c>
    </row>
    <row r="6" spans="1:14" x14ac:dyDescent="0.3">
      <c r="A6" s="49">
        <v>0</v>
      </c>
      <c r="B6" s="21" t="s">
        <v>186</v>
      </c>
      <c r="C6" s="21" t="s">
        <v>267</v>
      </c>
      <c r="D6" s="21" t="s">
        <v>280</v>
      </c>
      <c r="E6" s="21">
        <v>111</v>
      </c>
      <c r="F6" s="110">
        <v>28382</v>
      </c>
      <c r="G6" s="21">
        <v>164</v>
      </c>
      <c r="H6" s="21">
        <v>65</v>
      </c>
      <c r="I6" s="21">
        <v>52</v>
      </c>
      <c r="J6" s="21">
        <v>1400</v>
      </c>
      <c r="K6" s="21">
        <v>73.7</v>
      </c>
    </row>
    <row r="7" spans="1:14" x14ac:dyDescent="0.3">
      <c r="A7" s="49">
        <v>0</v>
      </c>
      <c r="B7" s="21" t="s">
        <v>256</v>
      </c>
      <c r="C7" s="21" t="s">
        <v>268</v>
      </c>
      <c r="D7" s="21" t="s">
        <v>281</v>
      </c>
      <c r="E7" s="21">
        <v>311</v>
      </c>
      <c r="F7" s="110">
        <v>28697</v>
      </c>
      <c r="G7" s="21">
        <v>182</v>
      </c>
      <c r="H7" s="258">
        <v>54</v>
      </c>
      <c r="I7" s="21">
        <v>64</v>
      </c>
      <c r="J7" s="21">
        <v>1100</v>
      </c>
      <c r="K7" s="21">
        <v>83.2</v>
      </c>
    </row>
    <row r="8" spans="1:14" x14ac:dyDescent="0.3">
      <c r="A8" s="49">
        <v>0</v>
      </c>
      <c r="B8" s="21" t="s">
        <v>258</v>
      </c>
      <c r="C8" s="21" t="s">
        <v>270</v>
      </c>
      <c r="D8" s="21" t="s">
        <v>277</v>
      </c>
      <c r="E8" s="21">
        <v>211</v>
      </c>
      <c r="F8" s="110">
        <v>28622</v>
      </c>
      <c r="G8" s="21">
        <v>176</v>
      </c>
      <c r="H8" s="258">
        <v>68</v>
      </c>
      <c r="I8" s="21">
        <v>75</v>
      </c>
      <c r="J8" s="21">
        <v>1300</v>
      </c>
      <c r="K8" s="21">
        <v>79.2</v>
      </c>
    </row>
    <row r="9" spans="1:14" x14ac:dyDescent="0.3">
      <c r="A9" s="49">
        <v>0</v>
      </c>
      <c r="B9" s="21" t="s">
        <v>637</v>
      </c>
      <c r="C9" s="21" t="s">
        <v>644</v>
      </c>
      <c r="D9" s="21" t="s">
        <v>280</v>
      </c>
      <c r="E9" s="21">
        <v>111</v>
      </c>
      <c r="F9" s="110">
        <v>28382</v>
      </c>
      <c r="G9" s="21">
        <v>165</v>
      </c>
      <c r="H9" s="21">
        <v>65</v>
      </c>
      <c r="I9" s="21">
        <v>52</v>
      </c>
      <c r="J9" s="21">
        <v>1400</v>
      </c>
      <c r="K9" s="21">
        <v>73.7</v>
      </c>
    </row>
    <row r="10" spans="1:14" x14ac:dyDescent="0.3">
      <c r="A10" s="49">
        <v>1</v>
      </c>
      <c r="B10" s="21" t="s">
        <v>645</v>
      </c>
      <c r="C10" s="21" t="s">
        <v>266</v>
      </c>
      <c r="D10" s="21" t="s">
        <v>278</v>
      </c>
      <c r="E10" s="21">
        <v>101</v>
      </c>
      <c r="F10" s="110">
        <v>28403</v>
      </c>
      <c r="G10" s="21">
        <v>154</v>
      </c>
      <c r="H10" s="258">
        <v>56</v>
      </c>
      <c r="I10" s="258">
        <v>34</v>
      </c>
      <c r="J10" s="258">
        <v>1100</v>
      </c>
      <c r="K10" s="258">
        <v>54.6</v>
      </c>
    </row>
    <row r="11" spans="1:14" x14ac:dyDescent="0.3">
      <c r="A11" s="49">
        <v>0</v>
      </c>
      <c r="B11" s="21" t="s">
        <v>261</v>
      </c>
      <c r="C11" s="21" t="s">
        <v>273</v>
      </c>
      <c r="D11" s="21" t="s">
        <v>277</v>
      </c>
      <c r="E11" s="21">
        <v>111</v>
      </c>
      <c r="F11" s="110">
        <v>28624</v>
      </c>
      <c r="G11" s="21">
        <v>185</v>
      </c>
      <c r="H11" s="258">
        <v>76</v>
      </c>
      <c r="I11" s="21">
        <v>44</v>
      </c>
      <c r="J11" s="21">
        <v>1500</v>
      </c>
      <c r="K11" s="21">
        <v>46.4</v>
      </c>
    </row>
    <row r="12" spans="1:14" x14ac:dyDescent="0.3">
      <c r="A12" s="49">
        <v>0</v>
      </c>
      <c r="B12" s="21" t="s">
        <v>635</v>
      </c>
      <c r="C12" s="21" t="s">
        <v>642</v>
      </c>
      <c r="D12" s="21" t="s">
        <v>278</v>
      </c>
      <c r="E12" s="21">
        <v>211</v>
      </c>
      <c r="F12" s="110">
        <v>28527</v>
      </c>
      <c r="G12" s="21">
        <v>168</v>
      </c>
      <c r="H12" s="21">
        <v>86</v>
      </c>
      <c r="I12" s="21">
        <v>31</v>
      </c>
      <c r="J12" s="21">
        <v>1500</v>
      </c>
      <c r="K12" s="21">
        <v>40.299999999999997</v>
      </c>
    </row>
    <row r="13" spans="1:14" x14ac:dyDescent="0.3">
      <c r="A13" s="49">
        <v>0</v>
      </c>
      <c r="B13" s="21" t="s">
        <v>626</v>
      </c>
      <c r="C13" s="21" t="s">
        <v>416</v>
      </c>
      <c r="D13" s="21" t="s">
        <v>281</v>
      </c>
      <c r="E13" s="21">
        <v>311</v>
      </c>
      <c r="F13" s="110">
        <v>28697</v>
      </c>
      <c r="G13" s="21">
        <v>182</v>
      </c>
      <c r="H13" s="258">
        <v>54</v>
      </c>
      <c r="I13" s="21">
        <v>64</v>
      </c>
      <c r="J13" s="21">
        <v>1100</v>
      </c>
      <c r="K13" s="21">
        <v>83.2</v>
      </c>
    </row>
    <row r="14" spans="1:14" x14ac:dyDescent="0.3">
      <c r="A14" s="49">
        <v>1</v>
      </c>
      <c r="B14" s="21" t="s">
        <v>254</v>
      </c>
      <c r="C14" s="21" t="s">
        <v>266</v>
      </c>
      <c r="D14" s="21" t="s">
        <v>279</v>
      </c>
      <c r="E14" s="21">
        <v>111</v>
      </c>
      <c r="F14" s="110">
        <v>28564</v>
      </c>
      <c r="G14" s="21">
        <v>182</v>
      </c>
      <c r="H14" s="258">
        <v>76</v>
      </c>
      <c r="I14" s="21">
        <v>22</v>
      </c>
      <c r="J14" s="21">
        <v>1200</v>
      </c>
      <c r="K14" s="21">
        <v>72.8</v>
      </c>
    </row>
    <row r="15" spans="1:14" x14ac:dyDescent="0.3">
      <c r="A15" s="49">
        <v>0</v>
      </c>
      <c r="B15" s="21" t="s">
        <v>255</v>
      </c>
      <c r="C15" s="21" t="s">
        <v>265</v>
      </c>
      <c r="D15" s="21" t="s">
        <v>278</v>
      </c>
      <c r="E15" s="21">
        <v>211</v>
      </c>
      <c r="F15" s="110">
        <v>28527</v>
      </c>
      <c r="G15" s="21">
        <v>172</v>
      </c>
      <c r="H15" s="21">
        <v>86</v>
      </c>
      <c r="I15" s="21">
        <v>31</v>
      </c>
      <c r="J15" s="21">
        <v>1500</v>
      </c>
      <c r="K15" s="21">
        <v>40.299999999999997</v>
      </c>
    </row>
    <row r="16" spans="1:14" x14ac:dyDescent="0.3">
      <c r="A16" s="49">
        <v>0</v>
      </c>
      <c r="B16" s="21" t="s">
        <v>262</v>
      </c>
      <c r="C16" s="21" t="s">
        <v>274</v>
      </c>
      <c r="D16" s="21" t="s">
        <v>276</v>
      </c>
      <c r="E16" s="21">
        <v>111</v>
      </c>
      <c r="F16" s="110">
        <v>29103</v>
      </c>
      <c r="G16" s="21">
        <v>180</v>
      </c>
      <c r="H16" s="258">
        <v>80</v>
      </c>
      <c r="I16" s="21">
        <v>29</v>
      </c>
      <c r="J16" s="21">
        <v>1300</v>
      </c>
      <c r="K16" s="21">
        <v>54</v>
      </c>
    </row>
    <row r="17" spans="1:11" x14ac:dyDescent="0.3">
      <c r="A17" s="49">
        <v>1</v>
      </c>
      <c r="B17" s="21" t="s">
        <v>646</v>
      </c>
      <c r="C17" s="21" t="s">
        <v>550</v>
      </c>
      <c r="D17" s="21" t="s">
        <v>279</v>
      </c>
      <c r="E17" s="21">
        <v>201</v>
      </c>
      <c r="F17" s="110">
        <v>28743</v>
      </c>
      <c r="G17" s="21">
        <v>156</v>
      </c>
      <c r="H17" s="258">
        <v>51</v>
      </c>
      <c r="I17" s="258">
        <v>56</v>
      </c>
      <c r="J17" s="258">
        <v>1200</v>
      </c>
      <c r="K17" s="258">
        <v>74.2</v>
      </c>
    </row>
    <row r="18" spans="1:11" x14ac:dyDescent="0.3">
      <c r="A18" s="49">
        <v>1</v>
      </c>
      <c r="B18" s="21" t="s">
        <v>629</v>
      </c>
      <c r="C18" s="21" t="s">
        <v>269</v>
      </c>
      <c r="D18" s="21" t="s">
        <v>278</v>
      </c>
      <c r="E18" s="21">
        <v>311</v>
      </c>
      <c r="F18" s="110">
        <v>28197</v>
      </c>
      <c r="G18" s="21">
        <v>182</v>
      </c>
      <c r="H18" s="258">
        <v>55</v>
      </c>
      <c r="I18" s="21">
        <v>36</v>
      </c>
      <c r="J18" s="21">
        <v>1500</v>
      </c>
      <c r="K18" s="21">
        <v>61.6</v>
      </c>
    </row>
    <row r="19" spans="1:11" x14ac:dyDescent="0.3">
      <c r="A19" s="49">
        <v>1</v>
      </c>
      <c r="B19" s="21" t="s">
        <v>260</v>
      </c>
      <c r="C19" s="21" t="s">
        <v>272</v>
      </c>
      <c r="D19" s="21" t="s">
        <v>278</v>
      </c>
      <c r="E19" s="21">
        <v>311</v>
      </c>
      <c r="F19" s="110">
        <v>28197</v>
      </c>
      <c r="G19" s="21">
        <v>182</v>
      </c>
      <c r="H19" s="258">
        <v>55</v>
      </c>
      <c r="I19" s="21">
        <v>36</v>
      </c>
      <c r="J19" s="21">
        <v>1500</v>
      </c>
      <c r="K19" s="21">
        <v>61.6</v>
      </c>
    </row>
    <row r="20" spans="1:11" x14ac:dyDescent="0.3">
      <c r="A20" s="49">
        <v>0</v>
      </c>
      <c r="B20" s="21" t="s">
        <v>648</v>
      </c>
      <c r="C20" s="21" t="s">
        <v>650</v>
      </c>
      <c r="D20" s="21" t="s">
        <v>276</v>
      </c>
      <c r="E20" s="21">
        <v>211</v>
      </c>
      <c r="F20" s="110">
        <v>27496</v>
      </c>
      <c r="G20" s="21">
        <v>178</v>
      </c>
      <c r="H20" s="258">
        <v>69</v>
      </c>
      <c r="I20" s="258">
        <v>45</v>
      </c>
      <c r="J20" s="258">
        <v>1400</v>
      </c>
      <c r="K20" s="258">
        <v>68.2</v>
      </c>
    </row>
    <row r="21" spans="1:11" x14ac:dyDescent="0.3">
      <c r="A21" s="49">
        <v>1</v>
      </c>
      <c r="B21" s="21" t="s">
        <v>252</v>
      </c>
      <c r="C21" s="21" t="s">
        <v>195</v>
      </c>
      <c r="D21" s="21" t="s">
        <v>276</v>
      </c>
      <c r="E21" s="21">
        <v>111</v>
      </c>
      <c r="F21" s="110">
        <v>26879</v>
      </c>
      <c r="G21" s="21">
        <v>185</v>
      </c>
      <c r="H21" s="21">
        <v>75</v>
      </c>
      <c r="I21" s="21">
        <v>36</v>
      </c>
      <c r="J21" s="21">
        <v>1200</v>
      </c>
      <c r="K21" s="21">
        <v>43.2</v>
      </c>
    </row>
    <row r="22" spans="1:11" x14ac:dyDescent="0.3">
      <c r="A22" s="49">
        <v>0</v>
      </c>
      <c r="B22" s="21" t="s">
        <v>647</v>
      </c>
      <c r="C22" s="21" t="s">
        <v>267</v>
      </c>
      <c r="D22" s="21" t="s">
        <v>278</v>
      </c>
      <c r="E22" s="21">
        <v>111</v>
      </c>
      <c r="F22" s="110">
        <v>28614</v>
      </c>
      <c r="G22" s="21">
        <v>185</v>
      </c>
      <c r="H22" s="258">
        <v>78</v>
      </c>
      <c r="I22" s="258">
        <v>34</v>
      </c>
      <c r="J22" s="258">
        <v>1300</v>
      </c>
      <c r="K22" s="258">
        <v>35.4</v>
      </c>
    </row>
    <row r="23" spans="1:11" x14ac:dyDescent="0.3">
      <c r="A23" s="49">
        <v>0</v>
      </c>
      <c r="B23" s="21" t="s">
        <v>259</v>
      </c>
      <c r="C23" s="21" t="s">
        <v>271</v>
      </c>
      <c r="D23" s="21" t="s">
        <v>279</v>
      </c>
      <c r="E23" s="21">
        <v>211</v>
      </c>
      <c r="F23" s="110">
        <v>28725</v>
      </c>
      <c r="G23" s="21">
        <v>174</v>
      </c>
      <c r="H23" s="21">
        <v>56</v>
      </c>
      <c r="I23" s="21">
        <v>66</v>
      </c>
      <c r="J23" s="21">
        <v>1400</v>
      </c>
      <c r="K23" s="21">
        <v>46.9</v>
      </c>
    </row>
    <row r="24" spans="1:11" x14ac:dyDescent="0.3">
      <c r="A24" s="49">
        <v>1</v>
      </c>
      <c r="B24" s="21" t="s">
        <v>649</v>
      </c>
      <c r="C24" s="21" t="s">
        <v>651</v>
      </c>
      <c r="D24" s="21" t="s">
        <v>281</v>
      </c>
      <c r="E24" s="21">
        <v>101</v>
      </c>
      <c r="F24" s="110">
        <v>28271</v>
      </c>
      <c r="G24" s="21">
        <v>152</v>
      </c>
      <c r="H24" s="258">
        <v>65</v>
      </c>
      <c r="I24" s="258">
        <v>29</v>
      </c>
      <c r="J24" s="258">
        <v>1200</v>
      </c>
      <c r="K24" s="258">
        <v>41.9</v>
      </c>
    </row>
    <row r="25" spans="1:11" x14ac:dyDescent="0.3">
      <c r="A25" s="49">
        <v>0</v>
      </c>
      <c r="B25" s="21" t="s">
        <v>633</v>
      </c>
      <c r="C25" s="21" t="s">
        <v>640</v>
      </c>
      <c r="D25" s="21" t="s">
        <v>277</v>
      </c>
      <c r="E25" s="21">
        <v>101</v>
      </c>
      <c r="F25" s="110">
        <v>28160</v>
      </c>
      <c r="G25" s="21">
        <v>179</v>
      </c>
      <c r="H25" s="258">
        <v>78</v>
      </c>
      <c r="I25" s="21">
        <v>36</v>
      </c>
      <c r="J25" s="21">
        <v>1400</v>
      </c>
      <c r="K25" s="21">
        <v>54.2</v>
      </c>
    </row>
    <row r="26" spans="1:11" x14ac:dyDescent="0.3">
      <c r="A26" s="49">
        <v>0</v>
      </c>
      <c r="B26" s="21" t="s">
        <v>632</v>
      </c>
      <c r="C26" s="21" t="s">
        <v>268</v>
      </c>
      <c r="D26" s="21" t="s">
        <v>276</v>
      </c>
      <c r="E26" s="21">
        <v>111</v>
      </c>
      <c r="F26" s="110">
        <v>29103</v>
      </c>
      <c r="G26" s="21">
        <v>180</v>
      </c>
      <c r="H26" s="258">
        <v>80</v>
      </c>
      <c r="I26" s="21">
        <v>29</v>
      </c>
      <c r="J26" s="21">
        <v>1300</v>
      </c>
      <c r="K26" s="21">
        <v>54</v>
      </c>
    </row>
    <row r="27" spans="1:11" x14ac:dyDescent="0.3">
      <c r="A27" s="49">
        <v>0</v>
      </c>
      <c r="B27" s="21" t="s">
        <v>630</v>
      </c>
      <c r="C27" s="21" t="s">
        <v>638</v>
      </c>
      <c r="D27" s="21" t="s">
        <v>277</v>
      </c>
      <c r="E27" s="21">
        <v>201</v>
      </c>
      <c r="F27" s="110">
        <v>26912</v>
      </c>
      <c r="G27" s="21">
        <v>180</v>
      </c>
      <c r="H27" s="258">
        <v>78</v>
      </c>
      <c r="I27" s="21">
        <v>45</v>
      </c>
      <c r="J27" s="21">
        <v>1400</v>
      </c>
      <c r="K27" s="21">
        <v>67.5</v>
      </c>
    </row>
    <row r="28" spans="1:11" x14ac:dyDescent="0.3">
      <c r="A28" s="49">
        <v>1</v>
      </c>
      <c r="B28" s="21" t="s">
        <v>257</v>
      </c>
      <c r="C28" s="21" t="s">
        <v>269</v>
      </c>
      <c r="D28" s="21" t="s">
        <v>276</v>
      </c>
      <c r="E28" s="21">
        <v>201</v>
      </c>
      <c r="F28" s="110">
        <v>28397</v>
      </c>
      <c r="G28" s="21">
        <v>180</v>
      </c>
      <c r="H28" s="258">
        <v>78</v>
      </c>
      <c r="I28" s="21">
        <v>36</v>
      </c>
      <c r="J28" s="21">
        <v>1600</v>
      </c>
      <c r="K28" s="21">
        <v>105</v>
      </c>
    </row>
    <row r="29" spans="1:11" x14ac:dyDescent="0.3">
      <c r="A29" s="49">
        <v>0</v>
      </c>
      <c r="B29" s="21" t="s">
        <v>636</v>
      </c>
      <c r="C29" s="21" t="s">
        <v>643</v>
      </c>
      <c r="D29" s="21" t="s">
        <v>279</v>
      </c>
      <c r="E29" s="21">
        <v>211</v>
      </c>
      <c r="F29" s="110">
        <v>28725</v>
      </c>
      <c r="G29" s="21">
        <v>170</v>
      </c>
      <c r="H29" s="21">
        <v>56</v>
      </c>
      <c r="I29" s="21">
        <v>66</v>
      </c>
      <c r="J29" s="21">
        <v>1400</v>
      </c>
      <c r="K29" s="21">
        <v>46.9</v>
      </c>
    </row>
    <row r="30" spans="1:11" x14ac:dyDescent="0.3">
      <c r="A30" s="49">
        <v>0</v>
      </c>
      <c r="B30" s="21" t="s">
        <v>634</v>
      </c>
      <c r="C30" s="21" t="s">
        <v>641</v>
      </c>
      <c r="D30" s="21" t="s">
        <v>277</v>
      </c>
      <c r="E30" s="21">
        <v>211</v>
      </c>
      <c r="F30" s="110">
        <v>28622</v>
      </c>
      <c r="G30" s="21">
        <v>175</v>
      </c>
      <c r="H30" s="258">
        <v>68</v>
      </c>
      <c r="I30" s="21">
        <v>75</v>
      </c>
      <c r="J30" s="21">
        <v>1300</v>
      </c>
      <c r="K30" s="21">
        <v>79.2</v>
      </c>
    </row>
    <row r="31" spans="1:11" x14ac:dyDescent="0.3">
      <c r="A31" s="49">
        <v>1</v>
      </c>
      <c r="B31" s="21" t="s">
        <v>627</v>
      </c>
      <c r="C31" s="21" t="s">
        <v>628</v>
      </c>
      <c r="D31" s="21" t="s">
        <v>622</v>
      </c>
      <c r="E31" s="21">
        <v>101</v>
      </c>
      <c r="F31" s="110">
        <v>27895</v>
      </c>
      <c r="G31" s="21">
        <v>178</v>
      </c>
      <c r="H31" s="258">
        <v>72</v>
      </c>
      <c r="I31" s="258">
        <v>30</v>
      </c>
      <c r="J31" s="258">
        <v>1500</v>
      </c>
      <c r="K31" s="258">
        <v>70.400000000000006</v>
      </c>
    </row>
    <row r="32" spans="1:11" x14ac:dyDescent="0.3">
      <c r="A32" s="49">
        <v>0</v>
      </c>
      <c r="B32" s="21" t="s">
        <v>263</v>
      </c>
      <c r="C32" s="21" t="s">
        <v>275</v>
      </c>
      <c r="D32" s="21" t="s">
        <v>277</v>
      </c>
      <c r="E32" s="21">
        <v>101</v>
      </c>
      <c r="F32" s="110">
        <v>28160</v>
      </c>
      <c r="G32" s="21">
        <v>179</v>
      </c>
      <c r="H32" s="258">
        <v>78</v>
      </c>
      <c r="I32" s="21">
        <v>36</v>
      </c>
      <c r="J32" s="21">
        <v>1400</v>
      </c>
      <c r="K32" s="21">
        <v>54.2</v>
      </c>
    </row>
    <row r="33" spans="1:11" x14ac:dyDescent="0.3">
      <c r="A33" s="49">
        <v>1</v>
      </c>
      <c r="B33" s="148" t="s">
        <v>257</v>
      </c>
      <c r="C33" s="148" t="s">
        <v>269</v>
      </c>
      <c r="D33" s="148" t="s">
        <v>276</v>
      </c>
      <c r="E33" s="46">
        <v>201</v>
      </c>
      <c r="F33" s="149">
        <v>28397</v>
      </c>
      <c r="G33" s="21">
        <v>180</v>
      </c>
      <c r="H33" s="21">
        <v>78</v>
      </c>
      <c r="I33" s="21">
        <v>36</v>
      </c>
      <c r="J33" s="21">
        <v>1600</v>
      </c>
      <c r="K33" s="21">
        <v>105</v>
      </c>
    </row>
    <row r="34" spans="1:11" x14ac:dyDescent="0.3">
      <c r="A34" s="49">
        <v>0</v>
      </c>
      <c r="B34" s="148" t="s">
        <v>262</v>
      </c>
      <c r="C34" s="148" t="s">
        <v>274</v>
      </c>
      <c r="D34" s="148" t="s">
        <v>276</v>
      </c>
      <c r="E34" s="46">
        <v>111</v>
      </c>
      <c r="F34" s="149">
        <v>29103</v>
      </c>
      <c r="G34" s="21">
        <v>180</v>
      </c>
      <c r="H34" s="21">
        <v>80</v>
      </c>
      <c r="I34" s="21">
        <v>52</v>
      </c>
      <c r="J34" s="21">
        <v>1400</v>
      </c>
      <c r="K34" s="21">
        <v>73.7</v>
      </c>
    </row>
    <row r="35" spans="1:11" x14ac:dyDescent="0.3">
      <c r="A35" s="49">
        <v>0</v>
      </c>
      <c r="B35" s="257" t="s">
        <v>379</v>
      </c>
      <c r="C35" s="257" t="s">
        <v>273</v>
      </c>
      <c r="D35" s="21" t="s">
        <v>278</v>
      </c>
      <c r="E35" s="46">
        <v>311</v>
      </c>
      <c r="F35" s="110">
        <v>28197</v>
      </c>
      <c r="G35" s="21">
        <v>182</v>
      </c>
      <c r="H35" s="258">
        <v>55</v>
      </c>
      <c r="I35" s="21">
        <v>64</v>
      </c>
      <c r="J35" s="21">
        <v>1100</v>
      </c>
      <c r="K35" s="21">
        <v>83.2</v>
      </c>
    </row>
    <row r="36" spans="1:11" x14ac:dyDescent="0.3">
      <c r="A36" s="49">
        <v>1</v>
      </c>
      <c r="B36" s="257" t="s">
        <v>385</v>
      </c>
      <c r="C36" s="257" t="s">
        <v>386</v>
      </c>
      <c r="D36" s="21" t="s">
        <v>276</v>
      </c>
      <c r="E36" s="46">
        <v>111</v>
      </c>
      <c r="F36" s="110">
        <v>27496</v>
      </c>
      <c r="G36" s="21">
        <v>178</v>
      </c>
      <c r="H36" s="258">
        <v>69</v>
      </c>
      <c r="I36" s="21">
        <v>75</v>
      </c>
      <c r="J36" s="21">
        <v>1300</v>
      </c>
      <c r="K36" s="21">
        <v>79.2</v>
      </c>
    </row>
    <row r="37" spans="1:11" x14ac:dyDescent="0.3">
      <c r="A37" s="49">
        <v>1</v>
      </c>
      <c r="B37" s="257" t="s">
        <v>389</v>
      </c>
      <c r="C37" s="257" t="s">
        <v>195</v>
      </c>
      <c r="D37" s="21" t="s">
        <v>276</v>
      </c>
      <c r="E37" s="46">
        <v>211</v>
      </c>
      <c r="F37" s="110">
        <v>26879</v>
      </c>
      <c r="G37" s="21">
        <v>185</v>
      </c>
      <c r="H37" s="21">
        <v>75</v>
      </c>
      <c r="I37" s="21">
        <v>52</v>
      </c>
      <c r="J37" s="21">
        <v>1400</v>
      </c>
      <c r="K37" s="21">
        <v>73.7</v>
      </c>
    </row>
    <row r="38" spans="1:11" x14ac:dyDescent="0.3">
      <c r="A38" s="49">
        <v>1</v>
      </c>
      <c r="B38" s="257" t="s">
        <v>392</v>
      </c>
      <c r="C38" s="257" t="s">
        <v>393</v>
      </c>
      <c r="D38" s="21" t="s">
        <v>278</v>
      </c>
      <c r="E38" s="46">
        <v>311</v>
      </c>
      <c r="F38" s="110">
        <v>28614</v>
      </c>
      <c r="G38" s="21">
        <v>185</v>
      </c>
      <c r="H38" s="258">
        <v>78</v>
      </c>
      <c r="I38" s="258">
        <v>34</v>
      </c>
      <c r="J38" s="258">
        <v>1100</v>
      </c>
      <c r="K38" s="258">
        <v>54.6</v>
      </c>
    </row>
    <row r="39" spans="1:11" x14ac:dyDescent="0.3">
      <c r="A39" s="49">
        <v>1</v>
      </c>
      <c r="B39" s="257" t="s">
        <v>395</v>
      </c>
      <c r="C39" s="257" t="s">
        <v>266</v>
      </c>
      <c r="D39" s="21" t="s">
        <v>279</v>
      </c>
      <c r="E39" s="46">
        <v>111</v>
      </c>
      <c r="F39" s="110">
        <v>28725</v>
      </c>
      <c r="G39" s="21">
        <v>174</v>
      </c>
      <c r="H39" s="21">
        <v>56</v>
      </c>
      <c r="I39" s="21">
        <v>44</v>
      </c>
      <c r="J39" s="21">
        <v>1500</v>
      </c>
      <c r="K39" s="21">
        <v>46.4</v>
      </c>
    </row>
    <row r="40" spans="1:11" x14ac:dyDescent="0.3">
      <c r="A40" s="49">
        <v>0</v>
      </c>
      <c r="B40" s="257" t="s">
        <v>397</v>
      </c>
      <c r="C40" s="257" t="s">
        <v>398</v>
      </c>
      <c r="D40" s="21" t="s">
        <v>281</v>
      </c>
      <c r="E40" s="46">
        <v>211</v>
      </c>
      <c r="F40" s="110">
        <v>28271</v>
      </c>
      <c r="G40" s="21">
        <v>152</v>
      </c>
      <c r="H40" s="258">
        <v>65</v>
      </c>
      <c r="I40" s="21">
        <v>31</v>
      </c>
      <c r="J40" s="21">
        <v>1500</v>
      </c>
      <c r="K40" s="21">
        <v>40.299999999999997</v>
      </c>
    </row>
    <row r="41" spans="1:11" x14ac:dyDescent="0.3">
      <c r="A41" s="49">
        <v>1</v>
      </c>
      <c r="B41" s="257" t="s">
        <v>401</v>
      </c>
      <c r="C41" s="257" t="s">
        <v>195</v>
      </c>
      <c r="D41" s="21" t="s">
        <v>277</v>
      </c>
      <c r="E41" s="46">
        <v>201</v>
      </c>
      <c r="F41" s="110">
        <v>28160</v>
      </c>
      <c r="G41" s="21">
        <v>179</v>
      </c>
      <c r="H41" s="258">
        <v>78</v>
      </c>
      <c r="I41" s="21">
        <v>64</v>
      </c>
      <c r="J41" s="21">
        <v>1100</v>
      </c>
      <c r="K41" s="21">
        <v>83.2</v>
      </c>
    </row>
    <row r="42" spans="1:11" x14ac:dyDescent="0.3">
      <c r="A42" s="49">
        <v>1</v>
      </c>
      <c r="B42" s="257" t="s">
        <v>403</v>
      </c>
      <c r="C42" s="257" t="s">
        <v>404</v>
      </c>
      <c r="D42" s="21" t="s">
        <v>276</v>
      </c>
      <c r="E42" s="46">
        <v>211</v>
      </c>
      <c r="F42" s="110">
        <v>29103</v>
      </c>
      <c r="G42" s="21">
        <v>180</v>
      </c>
      <c r="H42" s="258">
        <v>80</v>
      </c>
      <c r="I42" s="21">
        <v>22</v>
      </c>
      <c r="J42" s="21">
        <v>1200</v>
      </c>
      <c r="K42" s="21">
        <v>72.8</v>
      </c>
    </row>
    <row r="43" spans="1:11" x14ac:dyDescent="0.3">
      <c r="A43" s="49">
        <v>1</v>
      </c>
      <c r="B43" s="257" t="s">
        <v>407</v>
      </c>
      <c r="C43" s="257" t="s">
        <v>408</v>
      </c>
      <c r="D43" s="21" t="s">
        <v>277</v>
      </c>
      <c r="E43" s="46">
        <v>111</v>
      </c>
      <c r="F43" s="110">
        <v>26912</v>
      </c>
      <c r="G43" s="21">
        <v>180</v>
      </c>
      <c r="H43" s="258">
        <v>78</v>
      </c>
      <c r="I43" s="21">
        <v>31</v>
      </c>
      <c r="J43" s="21">
        <v>1500</v>
      </c>
      <c r="K43" s="21">
        <v>40.299999999999997</v>
      </c>
    </row>
    <row r="44" spans="1:11" x14ac:dyDescent="0.3">
      <c r="A44" s="49">
        <v>1</v>
      </c>
      <c r="B44" s="257" t="s">
        <v>410</v>
      </c>
      <c r="C44" s="257" t="s">
        <v>195</v>
      </c>
      <c r="D44" s="21" t="s">
        <v>276</v>
      </c>
      <c r="E44" s="46">
        <v>111</v>
      </c>
      <c r="F44" s="110">
        <v>28397</v>
      </c>
      <c r="G44" s="21">
        <v>180</v>
      </c>
      <c r="H44" s="258">
        <v>78</v>
      </c>
      <c r="I44" s="21">
        <v>29</v>
      </c>
      <c r="J44" s="21">
        <v>1300</v>
      </c>
      <c r="K44" s="21">
        <v>54</v>
      </c>
    </row>
    <row r="45" spans="1:11" x14ac:dyDescent="0.3">
      <c r="A45" s="49">
        <v>1</v>
      </c>
      <c r="B45" s="257" t="s">
        <v>412</v>
      </c>
      <c r="C45" s="257" t="s">
        <v>413</v>
      </c>
      <c r="D45" s="21" t="s">
        <v>279</v>
      </c>
      <c r="E45" s="46">
        <v>201</v>
      </c>
      <c r="F45" s="110">
        <v>28725</v>
      </c>
      <c r="G45" s="21">
        <v>1700</v>
      </c>
      <c r="H45" s="21">
        <v>56</v>
      </c>
      <c r="I45" s="258">
        <v>56</v>
      </c>
      <c r="J45" s="258">
        <v>1200</v>
      </c>
      <c r="K45" s="258">
        <v>74.2</v>
      </c>
    </row>
    <row r="46" spans="1:11" x14ac:dyDescent="0.3">
      <c r="A46" s="49">
        <v>0</v>
      </c>
      <c r="B46" s="257" t="s">
        <v>415</v>
      </c>
      <c r="C46" s="257" t="s">
        <v>416</v>
      </c>
      <c r="D46" s="21" t="s">
        <v>277</v>
      </c>
      <c r="E46" s="46">
        <v>111</v>
      </c>
      <c r="F46" s="110">
        <v>28622</v>
      </c>
      <c r="G46" s="21">
        <v>175</v>
      </c>
      <c r="H46" s="258">
        <v>68</v>
      </c>
      <c r="I46" s="21">
        <v>36</v>
      </c>
      <c r="J46" s="21">
        <v>1500</v>
      </c>
      <c r="K46" s="21">
        <v>61.6</v>
      </c>
    </row>
    <row r="47" spans="1:11" x14ac:dyDescent="0.3">
      <c r="A47" s="49">
        <v>1</v>
      </c>
      <c r="B47" s="257" t="s">
        <v>417</v>
      </c>
      <c r="C47" s="257" t="s">
        <v>418</v>
      </c>
      <c r="D47" s="21" t="s">
        <v>622</v>
      </c>
      <c r="E47" s="46">
        <v>311</v>
      </c>
      <c r="F47" s="110">
        <v>27895</v>
      </c>
      <c r="G47" s="21">
        <v>178</v>
      </c>
      <c r="H47" s="258">
        <v>72</v>
      </c>
      <c r="I47" s="21">
        <v>36</v>
      </c>
      <c r="J47" s="21">
        <v>1500</v>
      </c>
      <c r="K47" s="21">
        <v>61.6</v>
      </c>
    </row>
    <row r="48" spans="1:11" x14ac:dyDescent="0.3">
      <c r="A48" s="49">
        <v>1</v>
      </c>
      <c r="B48" s="257" t="s">
        <v>419</v>
      </c>
      <c r="C48" s="257" t="s">
        <v>386</v>
      </c>
      <c r="D48" s="21" t="s">
        <v>277</v>
      </c>
      <c r="E48" s="46">
        <v>111</v>
      </c>
      <c r="F48" s="110">
        <v>28160</v>
      </c>
      <c r="G48" s="21">
        <v>179</v>
      </c>
      <c r="H48" s="258">
        <v>78</v>
      </c>
      <c r="I48" s="258">
        <v>45</v>
      </c>
      <c r="J48" s="258">
        <v>1400</v>
      </c>
      <c r="K48" s="258">
        <v>68.2</v>
      </c>
    </row>
    <row r="49" spans="1:11" x14ac:dyDescent="0.3">
      <c r="A49" s="49">
        <v>0</v>
      </c>
      <c r="B49" s="257" t="s">
        <v>420</v>
      </c>
      <c r="C49" s="257" t="s">
        <v>421</v>
      </c>
      <c r="D49" s="21" t="s">
        <v>277</v>
      </c>
      <c r="E49" s="46">
        <v>211</v>
      </c>
      <c r="F49" s="110">
        <v>26879</v>
      </c>
      <c r="G49" s="21">
        <v>185</v>
      </c>
      <c r="H49" s="21">
        <v>75</v>
      </c>
      <c r="I49" s="21">
        <v>36</v>
      </c>
      <c r="J49" s="21">
        <v>1200</v>
      </c>
      <c r="K49" s="21">
        <v>43.2</v>
      </c>
    </row>
    <row r="50" spans="1:11" x14ac:dyDescent="0.3">
      <c r="A50" s="49">
        <v>1</v>
      </c>
      <c r="B50" s="257" t="s">
        <v>422</v>
      </c>
      <c r="C50" s="257" t="s">
        <v>423</v>
      </c>
      <c r="D50" s="21" t="s">
        <v>277</v>
      </c>
      <c r="E50" s="46">
        <v>311</v>
      </c>
      <c r="F50" s="110">
        <v>28614</v>
      </c>
      <c r="G50" s="21">
        <v>185</v>
      </c>
      <c r="H50" s="258">
        <v>78</v>
      </c>
      <c r="I50" s="258">
        <v>34</v>
      </c>
      <c r="J50" s="258">
        <v>1300</v>
      </c>
      <c r="K50" s="258">
        <v>35.4</v>
      </c>
    </row>
    <row r="51" spans="1:11" x14ac:dyDescent="0.3">
      <c r="A51" s="49">
        <v>1</v>
      </c>
      <c r="B51" s="257" t="s">
        <v>424</v>
      </c>
      <c r="C51" s="257" t="s">
        <v>425</v>
      </c>
      <c r="D51" s="21" t="s">
        <v>277</v>
      </c>
      <c r="E51" s="46">
        <v>111</v>
      </c>
      <c r="F51" s="110">
        <v>28725</v>
      </c>
      <c r="G51" s="21">
        <v>174</v>
      </c>
      <c r="H51" s="21">
        <v>56</v>
      </c>
      <c r="I51" s="21">
        <v>66</v>
      </c>
      <c r="J51" s="21">
        <v>1400</v>
      </c>
      <c r="K51" s="21">
        <v>46.9</v>
      </c>
    </row>
    <row r="52" spans="1:11" x14ac:dyDescent="0.3">
      <c r="A52" s="49">
        <v>0</v>
      </c>
      <c r="B52" s="257" t="s">
        <v>426</v>
      </c>
      <c r="C52" s="257" t="s">
        <v>268</v>
      </c>
      <c r="D52" s="21" t="s">
        <v>277</v>
      </c>
      <c r="E52" s="46">
        <v>211</v>
      </c>
      <c r="F52" s="110">
        <v>28271</v>
      </c>
      <c r="G52" s="21">
        <v>152</v>
      </c>
      <c r="H52" s="258">
        <v>65</v>
      </c>
      <c r="I52" s="258">
        <v>29</v>
      </c>
      <c r="J52" s="258">
        <v>1200</v>
      </c>
      <c r="K52" s="258">
        <v>41.9</v>
      </c>
    </row>
    <row r="53" spans="1:11" x14ac:dyDescent="0.3">
      <c r="A53" s="49">
        <v>1</v>
      </c>
      <c r="B53" s="257" t="s">
        <v>427</v>
      </c>
      <c r="C53" s="257" t="s">
        <v>266</v>
      </c>
      <c r="D53" s="148" t="s">
        <v>279</v>
      </c>
      <c r="E53" s="46">
        <v>201</v>
      </c>
      <c r="F53" s="110">
        <v>28160</v>
      </c>
      <c r="G53" s="21">
        <v>179</v>
      </c>
      <c r="H53" s="258">
        <v>78</v>
      </c>
      <c r="I53" s="21">
        <v>36</v>
      </c>
      <c r="J53" s="21">
        <v>1400</v>
      </c>
      <c r="K53" s="21">
        <v>54.2</v>
      </c>
    </row>
    <row r="54" spans="1:11" x14ac:dyDescent="0.3">
      <c r="A54" s="49">
        <v>1</v>
      </c>
      <c r="B54" s="257" t="s">
        <v>428</v>
      </c>
      <c r="C54" s="257" t="s">
        <v>429</v>
      </c>
      <c r="D54" s="148" t="s">
        <v>279</v>
      </c>
      <c r="E54" s="46">
        <v>211</v>
      </c>
      <c r="F54" s="110">
        <v>29103</v>
      </c>
      <c r="G54" s="21">
        <v>180</v>
      </c>
      <c r="H54" s="258">
        <v>80</v>
      </c>
      <c r="I54" s="21">
        <v>29</v>
      </c>
      <c r="J54" s="21">
        <v>1300</v>
      </c>
      <c r="K54" s="21">
        <v>54</v>
      </c>
    </row>
    <row r="55" spans="1:11" x14ac:dyDescent="0.3">
      <c r="A55" s="49">
        <v>1</v>
      </c>
      <c r="B55" s="257" t="s">
        <v>430</v>
      </c>
      <c r="C55" s="257" t="s">
        <v>269</v>
      </c>
      <c r="D55" s="148" t="s">
        <v>277</v>
      </c>
      <c r="E55" s="46">
        <v>111</v>
      </c>
      <c r="F55" s="110">
        <v>26912</v>
      </c>
      <c r="G55" s="21">
        <v>180</v>
      </c>
      <c r="H55" s="258">
        <v>78</v>
      </c>
      <c r="I55" s="21">
        <v>45</v>
      </c>
      <c r="J55" s="21">
        <v>1400</v>
      </c>
      <c r="K55" s="21">
        <v>67.5</v>
      </c>
    </row>
    <row r="56" spans="1:11" x14ac:dyDescent="0.3">
      <c r="A56" s="49">
        <v>1</v>
      </c>
      <c r="B56" s="257" t="s">
        <v>432</v>
      </c>
      <c r="C56" s="257" t="s">
        <v>386</v>
      </c>
      <c r="D56" s="148" t="s">
        <v>277</v>
      </c>
      <c r="E56" s="46">
        <v>111</v>
      </c>
      <c r="F56" s="149">
        <v>28564</v>
      </c>
      <c r="G56" s="21">
        <v>182</v>
      </c>
      <c r="H56" s="21">
        <v>76</v>
      </c>
      <c r="I56" s="21">
        <v>36</v>
      </c>
      <c r="J56" s="21">
        <v>1600</v>
      </c>
      <c r="K56" s="21">
        <v>105</v>
      </c>
    </row>
    <row r="57" spans="1:11" x14ac:dyDescent="0.3">
      <c r="A57" s="49">
        <v>0</v>
      </c>
      <c r="B57" s="257" t="s">
        <v>433</v>
      </c>
      <c r="C57" s="257" t="s">
        <v>434</v>
      </c>
      <c r="D57" s="148" t="s">
        <v>277</v>
      </c>
      <c r="E57" s="46">
        <v>201</v>
      </c>
      <c r="F57" s="149">
        <v>28725</v>
      </c>
      <c r="G57" s="21">
        <v>175</v>
      </c>
      <c r="H57" s="21">
        <v>56</v>
      </c>
      <c r="I57" s="21">
        <v>36</v>
      </c>
      <c r="J57" s="21">
        <v>1600</v>
      </c>
      <c r="K57" s="21">
        <v>105</v>
      </c>
    </row>
    <row r="58" spans="1:11" x14ac:dyDescent="0.3">
      <c r="A58" s="49">
        <v>1</v>
      </c>
      <c r="B58" s="257" t="s">
        <v>435</v>
      </c>
      <c r="C58" s="257" t="s">
        <v>423</v>
      </c>
      <c r="D58" s="148" t="s">
        <v>276</v>
      </c>
      <c r="E58" s="46">
        <v>111</v>
      </c>
      <c r="F58" s="149">
        <v>26912</v>
      </c>
      <c r="G58" s="21">
        <v>180</v>
      </c>
      <c r="H58" s="21">
        <v>78</v>
      </c>
      <c r="I58" s="21">
        <v>52</v>
      </c>
      <c r="J58" s="21">
        <v>1400</v>
      </c>
      <c r="K58" s="21">
        <v>73.7</v>
      </c>
    </row>
    <row r="59" spans="1:11" x14ac:dyDescent="0.3">
      <c r="A59" s="49">
        <v>1</v>
      </c>
      <c r="B59" s="257" t="s">
        <v>436</v>
      </c>
      <c r="C59" s="257" t="s">
        <v>195</v>
      </c>
      <c r="D59" s="148" t="s">
        <v>276</v>
      </c>
      <c r="E59" s="46">
        <v>311</v>
      </c>
      <c r="F59" s="149">
        <v>28622</v>
      </c>
      <c r="G59" s="21">
        <v>176</v>
      </c>
      <c r="H59" s="21">
        <v>68</v>
      </c>
      <c r="I59" s="21">
        <v>64</v>
      </c>
      <c r="J59" s="21">
        <v>1100</v>
      </c>
      <c r="K59" s="21">
        <v>83.2</v>
      </c>
    </row>
    <row r="60" spans="1:11" x14ac:dyDescent="0.3">
      <c r="A60" s="49">
        <v>1</v>
      </c>
      <c r="B60" s="257" t="s">
        <v>437</v>
      </c>
      <c r="C60" s="257" t="s">
        <v>438</v>
      </c>
      <c r="D60" s="148" t="s">
        <v>276</v>
      </c>
      <c r="E60" s="46">
        <v>111</v>
      </c>
      <c r="F60" s="149">
        <v>28624</v>
      </c>
      <c r="G60" s="21">
        <v>185</v>
      </c>
      <c r="H60" s="21">
        <v>76</v>
      </c>
      <c r="I60" s="21">
        <v>75</v>
      </c>
      <c r="J60" s="21">
        <v>1300</v>
      </c>
      <c r="K60" s="21">
        <v>79.2</v>
      </c>
    </row>
    <row r="61" spans="1:11" x14ac:dyDescent="0.3">
      <c r="A61" s="49">
        <v>1</v>
      </c>
      <c r="B61" s="257" t="s">
        <v>439</v>
      </c>
      <c r="C61" s="257" t="s">
        <v>440</v>
      </c>
      <c r="D61" s="21" t="s">
        <v>278</v>
      </c>
      <c r="E61" s="46">
        <v>211</v>
      </c>
      <c r="F61" s="149">
        <v>26879</v>
      </c>
      <c r="G61" s="21">
        <v>185</v>
      </c>
      <c r="H61" s="21">
        <v>75</v>
      </c>
      <c r="I61" s="21">
        <v>52</v>
      </c>
      <c r="J61" s="21">
        <v>1400</v>
      </c>
      <c r="K61" s="21">
        <v>73.7</v>
      </c>
    </row>
    <row r="62" spans="1:11" x14ac:dyDescent="0.3">
      <c r="A62" s="49">
        <v>1</v>
      </c>
      <c r="B62" s="257" t="s">
        <v>441</v>
      </c>
      <c r="C62" s="257" t="s">
        <v>386</v>
      </c>
      <c r="D62" s="21" t="s">
        <v>276</v>
      </c>
      <c r="E62" s="46">
        <v>311</v>
      </c>
      <c r="F62" s="149">
        <v>28397</v>
      </c>
      <c r="G62" s="21">
        <v>180</v>
      </c>
      <c r="H62" s="21">
        <v>78</v>
      </c>
      <c r="I62" s="258">
        <v>34</v>
      </c>
      <c r="J62" s="258">
        <v>1100</v>
      </c>
      <c r="K62" s="258">
        <v>54.6</v>
      </c>
    </row>
    <row r="63" spans="1:11" x14ac:dyDescent="0.3">
      <c r="A63" s="49">
        <v>0</v>
      </c>
      <c r="B63" s="257" t="s">
        <v>442</v>
      </c>
      <c r="C63" s="257" t="s">
        <v>271</v>
      </c>
      <c r="D63" s="21" t="s">
        <v>276</v>
      </c>
      <c r="E63" s="46">
        <v>111</v>
      </c>
      <c r="F63" s="149">
        <v>29103</v>
      </c>
      <c r="G63" s="21">
        <v>180</v>
      </c>
      <c r="H63" s="21">
        <v>80</v>
      </c>
      <c r="I63" s="21">
        <v>44</v>
      </c>
      <c r="J63" s="21">
        <v>1500</v>
      </c>
      <c r="K63" s="21">
        <v>46.4</v>
      </c>
    </row>
    <row r="64" spans="1:11" x14ac:dyDescent="0.3">
      <c r="A64" s="49">
        <v>1</v>
      </c>
      <c r="B64" s="257" t="s">
        <v>443</v>
      </c>
      <c r="C64" s="257" t="s">
        <v>444</v>
      </c>
      <c r="D64" s="21" t="s">
        <v>278</v>
      </c>
      <c r="E64" s="46">
        <v>211</v>
      </c>
      <c r="F64" s="110">
        <v>28197</v>
      </c>
      <c r="G64" s="21">
        <v>182</v>
      </c>
      <c r="H64" s="258">
        <v>55</v>
      </c>
      <c r="I64" s="21">
        <v>31</v>
      </c>
      <c r="J64" s="21">
        <v>1500</v>
      </c>
      <c r="K64" s="21">
        <v>40.299999999999997</v>
      </c>
    </row>
    <row r="65" spans="1:11" x14ac:dyDescent="0.3">
      <c r="A65" s="49">
        <v>0</v>
      </c>
      <c r="B65" s="257" t="s">
        <v>445</v>
      </c>
      <c r="C65" s="257" t="s">
        <v>274</v>
      </c>
      <c r="D65" s="21" t="s">
        <v>279</v>
      </c>
      <c r="E65" s="46">
        <v>411</v>
      </c>
      <c r="F65" s="110">
        <v>27496</v>
      </c>
      <c r="G65" s="21">
        <v>178</v>
      </c>
      <c r="H65" s="258">
        <v>69</v>
      </c>
      <c r="I65" s="21">
        <v>64</v>
      </c>
      <c r="J65" s="21">
        <v>1100</v>
      </c>
      <c r="K65" s="21">
        <v>83.2</v>
      </c>
    </row>
    <row r="66" spans="1:11" x14ac:dyDescent="0.3">
      <c r="A66" s="49">
        <v>1</v>
      </c>
      <c r="B66" s="257" t="s">
        <v>446</v>
      </c>
      <c r="C66" s="257" t="s">
        <v>266</v>
      </c>
      <c r="D66" s="21" t="s">
        <v>281</v>
      </c>
      <c r="E66" s="46">
        <v>211</v>
      </c>
      <c r="F66" s="110">
        <v>26879</v>
      </c>
      <c r="G66" s="21">
        <v>185</v>
      </c>
      <c r="H66" s="21">
        <v>75</v>
      </c>
      <c r="I66" s="21">
        <v>22</v>
      </c>
      <c r="J66" s="21">
        <v>1200</v>
      </c>
      <c r="K66" s="21">
        <v>72.8</v>
      </c>
    </row>
    <row r="67" spans="1:11" x14ac:dyDescent="0.3">
      <c r="A67" s="49">
        <v>1</v>
      </c>
      <c r="B67" s="257" t="s">
        <v>447</v>
      </c>
      <c r="C67" s="257" t="s">
        <v>448</v>
      </c>
      <c r="D67" s="21" t="s">
        <v>277</v>
      </c>
      <c r="E67" s="46">
        <v>111</v>
      </c>
      <c r="F67" s="110">
        <v>28614</v>
      </c>
      <c r="G67" s="21">
        <v>185</v>
      </c>
      <c r="H67" s="258">
        <v>78</v>
      </c>
      <c r="I67" s="21">
        <v>31</v>
      </c>
      <c r="J67" s="21">
        <v>1500</v>
      </c>
      <c r="K67" s="21">
        <v>40.299999999999997</v>
      </c>
    </row>
    <row r="68" spans="1:11" x14ac:dyDescent="0.3">
      <c r="A68" s="49">
        <v>0</v>
      </c>
      <c r="B68" s="257" t="s">
        <v>449</v>
      </c>
      <c r="C68" s="257" t="s">
        <v>450</v>
      </c>
      <c r="D68" s="21" t="s">
        <v>276</v>
      </c>
      <c r="E68" s="46">
        <v>111</v>
      </c>
      <c r="F68" s="110">
        <v>28725</v>
      </c>
      <c r="G68" s="21">
        <v>174</v>
      </c>
      <c r="H68" s="21">
        <v>56</v>
      </c>
      <c r="I68" s="21">
        <v>29</v>
      </c>
      <c r="J68" s="21">
        <v>1300</v>
      </c>
      <c r="K68" s="21">
        <v>54</v>
      </c>
    </row>
    <row r="69" spans="1:11" x14ac:dyDescent="0.3">
      <c r="A69" s="49">
        <v>0</v>
      </c>
      <c r="B69" s="257" t="s">
        <v>451</v>
      </c>
      <c r="C69" s="257" t="s">
        <v>416</v>
      </c>
      <c r="D69" s="21" t="s">
        <v>277</v>
      </c>
      <c r="E69" s="46">
        <v>201</v>
      </c>
      <c r="F69" s="110">
        <v>28271</v>
      </c>
      <c r="G69" s="21">
        <v>152</v>
      </c>
      <c r="H69" s="258">
        <v>620</v>
      </c>
      <c r="I69" s="258">
        <v>56</v>
      </c>
      <c r="J69" s="258">
        <v>1200</v>
      </c>
      <c r="K69" s="258">
        <v>74.2</v>
      </c>
    </row>
    <row r="70" spans="1:11" x14ac:dyDescent="0.3">
      <c r="A70" s="49">
        <v>0</v>
      </c>
      <c r="B70" s="257" t="s">
        <v>452</v>
      </c>
      <c r="C70" s="257" t="s">
        <v>274</v>
      </c>
      <c r="D70" s="21" t="s">
        <v>276</v>
      </c>
      <c r="E70" s="46">
        <v>111</v>
      </c>
      <c r="F70" s="110">
        <v>28160</v>
      </c>
      <c r="G70" s="21">
        <v>179</v>
      </c>
      <c r="H70" s="258">
        <v>78</v>
      </c>
      <c r="I70" s="21">
        <v>36</v>
      </c>
      <c r="J70" s="21">
        <v>1500</v>
      </c>
      <c r="K70" s="21">
        <v>61.6</v>
      </c>
    </row>
    <row r="71" spans="1:11" x14ac:dyDescent="0.3">
      <c r="A71" s="49">
        <v>1</v>
      </c>
      <c r="B71" s="257" t="s">
        <v>453</v>
      </c>
      <c r="C71" s="257" t="s">
        <v>454</v>
      </c>
      <c r="D71" s="21" t="s">
        <v>279</v>
      </c>
      <c r="E71" s="46">
        <v>311</v>
      </c>
      <c r="F71" s="110">
        <v>29103</v>
      </c>
      <c r="G71" s="21">
        <v>180</v>
      </c>
      <c r="H71" s="258">
        <v>80</v>
      </c>
      <c r="I71" s="21">
        <v>36</v>
      </c>
      <c r="J71" s="21">
        <v>1500</v>
      </c>
      <c r="K71" s="21">
        <v>61.6</v>
      </c>
    </row>
    <row r="72" spans="1:11" x14ac:dyDescent="0.3">
      <c r="A72" s="49">
        <v>1</v>
      </c>
      <c r="B72" s="257" t="s">
        <v>455</v>
      </c>
      <c r="C72" s="257" t="s">
        <v>456</v>
      </c>
      <c r="D72" s="21" t="s">
        <v>277</v>
      </c>
      <c r="E72" s="46">
        <v>111</v>
      </c>
      <c r="F72" s="110">
        <v>26912</v>
      </c>
      <c r="G72" s="21">
        <v>180</v>
      </c>
      <c r="H72" s="258">
        <v>78</v>
      </c>
      <c r="I72" s="258">
        <v>45</v>
      </c>
      <c r="J72" s="258">
        <v>1400</v>
      </c>
      <c r="K72" s="258">
        <v>68.2</v>
      </c>
    </row>
    <row r="73" spans="1:11" x14ac:dyDescent="0.3">
      <c r="A73" s="49">
        <v>1</v>
      </c>
      <c r="B73" s="257" t="s">
        <v>457</v>
      </c>
      <c r="C73" s="257" t="s">
        <v>458</v>
      </c>
      <c r="D73" s="21" t="s">
        <v>622</v>
      </c>
      <c r="E73" s="46">
        <v>211</v>
      </c>
      <c r="F73" s="110">
        <v>28397</v>
      </c>
      <c r="G73" s="21">
        <v>180</v>
      </c>
      <c r="H73" s="258">
        <v>78</v>
      </c>
      <c r="I73" s="21">
        <v>36</v>
      </c>
      <c r="J73" s="21">
        <v>1200</v>
      </c>
      <c r="K73" s="21">
        <v>43.2</v>
      </c>
    </row>
    <row r="74" spans="1:11" x14ac:dyDescent="0.3">
      <c r="A74" s="49">
        <v>1</v>
      </c>
      <c r="B74" s="257" t="s">
        <v>459</v>
      </c>
      <c r="C74" s="257" t="s">
        <v>423</v>
      </c>
      <c r="D74" s="21" t="s">
        <v>277</v>
      </c>
      <c r="E74" s="46">
        <v>311</v>
      </c>
      <c r="F74" s="110">
        <v>28725</v>
      </c>
      <c r="G74" s="21">
        <v>170</v>
      </c>
      <c r="H74" s="21">
        <v>56</v>
      </c>
      <c r="I74" s="258">
        <v>34</v>
      </c>
      <c r="J74" s="258">
        <v>1300</v>
      </c>
      <c r="K74" s="258">
        <v>35.4</v>
      </c>
    </row>
    <row r="75" spans="1:11" x14ac:dyDescent="0.3">
      <c r="A75" s="49">
        <v>0</v>
      </c>
      <c r="B75" s="257" t="s">
        <v>461</v>
      </c>
      <c r="C75" s="257" t="s">
        <v>462</v>
      </c>
      <c r="D75" s="148" t="s">
        <v>279</v>
      </c>
      <c r="E75" s="46">
        <v>111</v>
      </c>
      <c r="F75" s="110">
        <v>28622</v>
      </c>
      <c r="G75" s="21">
        <v>175</v>
      </c>
      <c r="H75" s="258">
        <v>68</v>
      </c>
      <c r="I75" s="21">
        <v>66</v>
      </c>
      <c r="J75" s="21">
        <v>1400</v>
      </c>
      <c r="K75" s="21">
        <v>46.9</v>
      </c>
    </row>
    <row r="76" spans="1:11" x14ac:dyDescent="0.3">
      <c r="A76" s="49">
        <v>1</v>
      </c>
      <c r="B76" s="257" t="s">
        <v>463</v>
      </c>
      <c r="C76" s="257" t="s">
        <v>464</v>
      </c>
      <c r="D76" s="148" t="s">
        <v>279</v>
      </c>
      <c r="E76" s="46">
        <v>211</v>
      </c>
      <c r="F76" s="149">
        <v>28564</v>
      </c>
      <c r="G76" s="21">
        <v>182</v>
      </c>
      <c r="H76" s="21">
        <v>76</v>
      </c>
      <c r="I76" s="258">
        <v>29</v>
      </c>
      <c r="J76" s="258">
        <v>1200</v>
      </c>
      <c r="K76" s="258">
        <v>41.9</v>
      </c>
    </row>
    <row r="77" spans="1:11" x14ac:dyDescent="0.3">
      <c r="A77" s="49">
        <v>0</v>
      </c>
      <c r="B77" s="257" t="s">
        <v>467</v>
      </c>
      <c r="C77" s="257" t="s">
        <v>468</v>
      </c>
      <c r="D77" s="148" t="s">
        <v>277</v>
      </c>
      <c r="E77" s="46">
        <v>201</v>
      </c>
      <c r="F77" s="149">
        <v>28725</v>
      </c>
      <c r="G77" s="21">
        <v>175</v>
      </c>
      <c r="H77" s="21">
        <v>56</v>
      </c>
      <c r="I77" s="21">
        <v>36</v>
      </c>
      <c r="J77" s="21">
        <v>1400</v>
      </c>
      <c r="K77" s="21">
        <v>54.2</v>
      </c>
    </row>
    <row r="78" spans="1:11" x14ac:dyDescent="0.3">
      <c r="A78" s="49">
        <v>0</v>
      </c>
      <c r="B78" s="257" t="s">
        <v>469</v>
      </c>
      <c r="C78" s="257" t="s">
        <v>470</v>
      </c>
      <c r="D78" s="148" t="s">
        <v>277</v>
      </c>
      <c r="E78" s="46">
        <v>211</v>
      </c>
      <c r="F78" s="149">
        <v>26912</v>
      </c>
      <c r="G78" s="21">
        <v>180</v>
      </c>
      <c r="H78" s="21">
        <v>78</v>
      </c>
      <c r="I78" s="21">
        <v>29</v>
      </c>
      <c r="J78" s="21">
        <v>1300</v>
      </c>
      <c r="K78" s="21">
        <v>54</v>
      </c>
    </row>
    <row r="79" spans="1:11" x14ac:dyDescent="0.3">
      <c r="A79" s="49">
        <v>0</v>
      </c>
      <c r="B79" s="257" t="s">
        <v>472</v>
      </c>
      <c r="C79" s="257" t="s">
        <v>473</v>
      </c>
      <c r="D79" s="148" t="s">
        <v>277</v>
      </c>
      <c r="E79" s="46">
        <v>111</v>
      </c>
      <c r="F79" s="149">
        <v>28622</v>
      </c>
      <c r="G79" s="21">
        <v>176</v>
      </c>
      <c r="H79" s="21">
        <v>68</v>
      </c>
      <c r="I79" s="21">
        <v>45</v>
      </c>
      <c r="J79" s="21">
        <v>1400</v>
      </c>
      <c r="K79" s="21">
        <v>67.5</v>
      </c>
    </row>
    <row r="80" spans="1:11" x14ac:dyDescent="0.3">
      <c r="A80" s="49">
        <v>1</v>
      </c>
      <c r="B80" s="257" t="s">
        <v>476</v>
      </c>
      <c r="C80" s="257" t="s">
        <v>386</v>
      </c>
      <c r="D80" s="148" t="s">
        <v>276</v>
      </c>
      <c r="E80" s="46">
        <v>111</v>
      </c>
      <c r="F80" s="149">
        <v>28624</v>
      </c>
      <c r="G80" s="21">
        <v>185</v>
      </c>
      <c r="H80" s="21">
        <v>76</v>
      </c>
      <c r="I80" s="21">
        <v>36</v>
      </c>
      <c r="J80" s="21">
        <v>1600</v>
      </c>
      <c r="K80" s="21">
        <v>105</v>
      </c>
    </row>
    <row r="81" spans="1:11" x14ac:dyDescent="0.3">
      <c r="A81" s="49">
        <v>1</v>
      </c>
      <c r="B81" s="257" t="s">
        <v>477</v>
      </c>
      <c r="C81" s="257" t="s">
        <v>423</v>
      </c>
      <c r="D81" s="148" t="s">
        <v>276</v>
      </c>
      <c r="E81" s="46">
        <v>201</v>
      </c>
      <c r="F81" s="149">
        <v>26879</v>
      </c>
      <c r="G81" s="21">
        <v>185</v>
      </c>
      <c r="H81" s="21">
        <v>75</v>
      </c>
      <c r="I81" s="21">
        <v>66</v>
      </c>
      <c r="J81" s="21">
        <v>1400</v>
      </c>
      <c r="K81" s="21">
        <v>46.9</v>
      </c>
    </row>
    <row r="82" spans="1:11" x14ac:dyDescent="0.3">
      <c r="A82" s="49">
        <v>1</v>
      </c>
      <c r="B82" s="257" t="s">
        <v>478</v>
      </c>
      <c r="C82" s="257" t="s">
        <v>195</v>
      </c>
      <c r="D82" s="148" t="s">
        <v>276</v>
      </c>
      <c r="E82" s="46">
        <v>111</v>
      </c>
      <c r="F82" s="149">
        <v>28397</v>
      </c>
      <c r="G82" s="21">
        <v>180</v>
      </c>
      <c r="H82" s="21">
        <v>78</v>
      </c>
      <c r="I82" s="21">
        <v>75</v>
      </c>
      <c r="J82" s="21">
        <v>1300</v>
      </c>
      <c r="K82" s="21">
        <v>79.2</v>
      </c>
    </row>
    <row r="83" spans="1:11" x14ac:dyDescent="0.3">
      <c r="A83" s="49">
        <v>1</v>
      </c>
      <c r="B83" s="257" t="s">
        <v>479</v>
      </c>
      <c r="C83" s="257" t="s">
        <v>423</v>
      </c>
      <c r="D83" s="21" t="s">
        <v>278</v>
      </c>
      <c r="E83" s="46">
        <v>311</v>
      </c>
      <c r="F83" s="149">
        <v>29103</v>
      </c>
      <c r="G83" s="21">
        <v>180</v>
      </c>
      <c r="H83" s="21">
        <v>80</v>
      </c>
      <c r="I83" s="258">
        <v>30</v>
      </c>
      <c r="J83" s="258">
        <v>1500</v>
      </c>
      <c r="K83" s="258">
        <v>70.400000000000006</v>
      </c>
    </row>
    <row r="84" spans="1:11" x14ac:dyDescent="0.3">
      <c r="A84" s="49">
        <v>1</v>
      </c>
      <c r="B84" s="257" t="s">
        <v>480</v>
      </c>
      <c r="C84" s="257" t="s">
        <v>195</v>
      </c>
      <c r="D84" s="21" t="s">
        <v>276</v>
      </c>
      <c r="E84" s="46">
        <v>111</v>
      </c>
      <c r="F84" s="110">
        <v>28197</v>
      </c>
      <c r="G84" s="21">
        <v>182</v>
      </c>
      <c r="H84" s="258">
        <v>55</v>
      </c>
      <c r="I84" s="21">
        <v>36</v>
      </c>
      <c r="J84" s="21">
        <v>1600</v>
      </c>
      <c r="K84" s="21">
        <v>105</v>
      </c>
    </row>
    <row r="85" spans="1:11" x14ac:dyDescent="0.3">
      <c r="A85" s="49">
        <v>1</v>
      </c>
      <c r="B85" s="257" t="s">
        <v>481</v>
      </c>
      <c r="C85" s="257" t="s">
        <v>482</v>
      </c>
      <c r="D85" s="21" t="s">
        <v>276</v>
      </c>
      <c r="E85" s="46">
        <v>211</v>
      </c>
      <c r="F85" s="110">
        <v>27496</v>
      </c>
      <c r="G85" s="21">
        <v>178</v>
      </c>
      <c r="H85" s="258">
        <v>69</v>
      </c>
      <c r="I85" s="21">
        <v>52</v>
      </c>
      <c r="J85" s="21">
        <v>1400</v>
      </c>
      <c r="K85" s="21">
        <v>73.7</v>
      </c>
    </row>
    <row r="86" spans="1:11" x14ac:dyDescent="0.3">
      <c r="A86" s="49">
        <v>1</v>
      </c>
      <c r="B86" s="257" t="s">
        <v>484</v>
      </c>
      <c r="C86" s="257" t="s">
        <v>485</v>
      </c>
      <c r="D86" s="21" t="s">
        <v>278</v>
      </c>
      <c r="E86" s="46">
        <v>311</v>
      </c>
      <c r="F86" s="110">
        <v>26879</v>
      </c>
      <c r="G86" s="21">
        <v>185</v>
      </c>
      <c r="H86" s="21">
        <v>75</v>
      </c>
      <c r="I86" s="21">
        <v>64</v>
      </c>
      <c r="J86" s="21">
        <v>1100</v>
      </c>
      <c r="K86" s="21">
        <v>83.2</v>
      </c>
    </row>
    <row r="87" spans="1:11" x14ac:dyDescent="0.3">
      <c r="A87" s="49">
        <v>0</v>
      </c>
      <c r="B87" s="257" t="s">
        <v>486</v>
      </c>
      <c r="C87" s="257" t="s">
        <v>271</v>
      </c>
      <c r="D87" s="21" t="s">
        <v>279</v>
      </c>
      <c r="E87" s="46">
        <v>111</v>
      </c>
      <c r="F87" s="110">
        <v>28614</v>
      </c>
      <c r="G87" s="21">
        <v>185</v>
      </c>
      <c r="H87" s="258">
        <v>78</v>
      </c>
      <c r="I87" s="21">
        <v>75</v>
      </c>
      <c r="J87" s="21">
        <v>1300</v>
      </c>
      <c r="K87" s="21">
        <v>79.2</v>
      </c>
    </row>
    <row r="88" spans="1:11" x14ac:dyDescent="0.3">
      <c r="A88" s="49">
        <v>0</v>
      </c>
      <c r="B88" s="257" t="s">
        <v>487</v>
      </c>
      <c r="C88" s="257" t="s">
        <v>273</v>
      </c>
      <c r="D88" s="21" t="s">
        <v>281</v>
      </c>
      <c r="E88" s="46">
        <v>211</v>
      </c>
      <c r="F88" s="110">
        <v>28725</v>
      </c>
      <c r="G88" s="21">
        <v>174</v>
      </c>
      <c r="H88" s="21">
        <v>56</v>
      </c>
      <c r="I88" s="21">
        <v>52</v>
      </c>
      <c r="J88" s="21">
        <v>1400</v>
      </c>
      <c r="K88" s="21">
        <v>73.7</v>
      </c>
    </row>
    <row r="89" spans="1:11" x14ac:dyDescent="0.3">
      <c r="A89" s="49">
        <v>1</v>
      </c>
      <c r="B89" s="257" t="s">
        <v>490</v>
      </c>
      <c r="C89" s="257" t="s">
        <v>195</v>
      </c>
      <c r="D89" s="21" t="s">
        <v>277</v>
      </c>
      <c r="E89" s="46">
        <v>201</v>
      </c>
      <c r="F89" s="110">
        <v>28271</v>
      </c>
      <c r="G89" s="21">
        <v>152</v>
      </c>
      <c r="H89" s="258">
        <v>65</v>
      </c>
      <c r="I89" s="258">
        <v>34</v>
      </c>
      <c r="J89" s="258">
        <v>1100</v>
      </c>
      <c r="K89" s="258">
        <v>54.6</v>
      </c>
    </row>
    <row r="90" spans="1:11" x14ac:dyDescent="0.3">
      <c r="A90" s="49">
        <v>0</v>
      </c>
      <c r="B90" s="257" t="s">
        <v>492</v>
      </c>
      <c r="C90" s="257" t="s">
        <v>493</v>
      </c>
      <c r="D90" s="21" t="s">
        <v>276</v>
      </c>
      <c r="E90" s="46">
        <v>211</v>
      </c>
      <c r="F90" s="110">
        <v>28160</v>
      </c>
      <c r="G90" s="21">
        <v>179</v>
      </c>
      <c r="H90" s="258">
        <v>78</v>
      </c>
      <c r="I90" s="21">
        <v>44</v>
      </c>
      <c r="J90" s="21">
        <v>1500</v>
      </c>
      <c r="K90" s="21">
        <v>46.4</v>
      </c>
    </row>
    <row r="91" spans="1:11" x14ac:dyDescent="0.3">
      <c r="A91" s="49">
        <v>1</v>
      </c>
      <c r="B91" s="257" t="s">
        <v>495</v>
      </c>
      <c r="C91" s="257" t="s">
        <v>269</v>
      </c>
      <c r="D91" s="21" t="s">
        <v>277</v>
      </c>
      <c r="E91" s="46">
        <v>111</v>
      </c>
      <c r="F91" s="110">
        <v>29103</v>
      </c>
      <c r="G91" s="21">
        <v>180</v>
      </c>
      <c r="H91" s="258">
        <v>80</v>
      </c>
      <c r="I91" s="21">
        <v>31</v>
      </c>
      <c r="J91" s="21">
        <v>1500</v>
      </c>
      <c r="K91" s="21">
        <v>40.299999999999997</v>
      </c>
    </row>
    <row r="92" spans="1:11" x14ac:dyDescent="0.3">
      <c r="A92" s="49">
        <v>1</v>
      </c>
      <c r="B92" s="257" t="s">
        <v>497</v>
      </c>
      <c r="C92" s="257" t="s">
        <v>429</v>
      </c>
      <c r="D92" s="21" t="s">
        <v>276</v>
      </c>
      <c r="E92" s="46">
        <v>111</v>
      </c>
      <c r="F92" s="110">
        <v>26912</v>
      </c>
      <c r="G92" s="21">
        <v>180</v>
      </c>
      <c r="H92" s="258">
        <v>78</v>
      </c>
      <c r="I92" s="21">
        <v>64</v>
      </c>
      <c r="J92" s="21">
        <v>1100</v>
      </c>
      <c r="K92" s="21">
        <v>83.2</v>
      </c>
    </row>
    <row r="93" spans="1:11" x14ac:dyDescent="0.3">
      <c r="A93" s="49">
        <v>0</v>
      </c>
      <c r="B93" s="257" t="s">
        <v>499</v>
      </c>
      <c r="C93" s="257" t="s">
        <v>274</v>
      </c>
      <c r="D93" s="21" t="s">
        <v>279</v>
      </c>
      <c r="E93" s="46">
        <v>201</v>
      </c>
      <c r="F93" s="110">
        <v>28397</v>
      </c>
      <c r="G93" s="21">
        <v>180</v>
      </c>
      <c r="H93" s="258">
        <v>78</v>
      </c>
      <c r="I93" s="21">
        <v>22</v>
      </c>
      <c r="J93" s="21">
        <v>1200</v>
      </c>
      <c r="K93" s="21">
        <v>72.8</v>
      </c>
    </row>
    <row r="94" spans="1:11" x14ac:dyDescent="0.3">
      <c r="A94" s="49">
        <v>1</v>
      </c>
      <c r="B94" s="257" t="s">
        <v>501</v>
      </c>
      <c r="C94" s="257" t="s">
        <v>201</v>
      </c>
      <c r="D94" s="21" t="s">
        <v>277</v>
      </c>
      <c r="E94" s="46">
        <v>111</v>
      </c>
      <c r="F94" s="110">
        <v>28725</v>
      </c>
      <c r="G94" s="21">
        <v>170</v>
      </c>
      <c r="H94" s="21">
        <v>56</v>
      </c>
      <c r="I94" s="21">
        <v>31</v>
      </c>
      <c r="J94" s="21">
        <v>1500</v>
      </c>
      <c r="K94" s="21">
        <v>40.299999999999997</v>
      </c>
    </row>
    <row r="95" spans="1:11" x14ac:dyDescent="0.3">
      <c r="A95" s="49">
        <v>1</v>
      </c>
      <c r="B95" s="257" t="s">
        <v>502</v>
      </c>
      <c r="C95" s="257" t="s">
        <v>266</v>
      </c>
      <c r="D95" s="21" t="s">
        <v>622</v>
      </c>
      <c r="E95" s="46">
        <v>311</v>
      </c>
      <c r="F95" s="110">
        <v>28622</v>
      </c>
      <c r="G95" s="21">
        <v>175</v>
      </c>
      <c r="H95" s="258">
        <v>68</v>
      </c>
      <c r="I95" s="21">
        <v>29</v>
      </c>
      <c r="J95" s="21">
        <v>1300</v>
      </c>
      <c r="K95" s="21">
        <v>54</v>
      </c>
    </row>
    <row r="96" spans="1:11" x14ac:dyDescent="0.3">
      <c r="A96" s="49">
        <v>0</v>
      </c>
      <c r="B96" s="257" t="s">
        <v>504</v>
      </c>
      <c r="C96" s="257" t="s">
        <v>273</v>
      </c>
      <c r="D96" s="148" t="s">
        <v>622</v>
      </c>
      <c r="E96" s="46">
        <v>111</v>
      </c>
      <c r="F96" s="149">
        <v>28564</v>
      </c>
      <c r="G96" s="21">
        <v>182</v>
      </c>
      <c r="H96" s="21">
        <v>76</v>
      </c>
      <c r="I96" s="258">
        <v>56</v>
      </c>
      <c r="J96" s="258">
        <v>1200</v>
      </c>
      <c r="K96" s="258">
        <v>74.2</v>
      </c>
    </row>
    <row r="97" spans="1:11" x14ac:dyDescent="0.3">
      <c r="A97" s="49">
        <v>1</v>
      </c>
      <c r="B97" s="257" t="s">
        <v>463</v>
      </c>
      <c r="C97" s="257" t="s">
        <v>195</v>
      </c>
      <c r="D97" s="148" t="s">
        <v>279</v>
      </c>
      <c r="E97" s="46">
        <v>211</v>
      </c>
      <c r="F97" s="149">
        <v>28725</v>
      </c>
      <c r="G97" s="21">
        <v>175</v>
      </c>
      <c r="H97" s="21">
        <v>56</v>
      </c>
      <c r="I97" s="21">
        <v>36</v>
      </c>
      <c r="J97" s="21">
        <v>1500</v>
      </c>
      <c r="K97" s="21">
        <v>61.6</v>
      </c>
    </row>
    <row r="98" spans="1:11" x14ac:dyDescent="0.3">
      <c r="A98" s="49">
        <v>1</v>
      </c>
      <c r="B98" s="257" t="s">
        <v>507</v>
      </c>
      <c r="C98" s="257" t="s">
        <v>448</v>
      </c>
      <c r="D98" s="148" t="s">
        <v>277</v>
      </c>
      <c r="E98" s="46">
        <v>311</v>
      </c>
      <c r="F98" s="149">
        <v>26912</v>
      </c>
      <c r="G98" s="21">
        <v>180</v>
      </c>
      <c r="H98" s="21">
        <v>78</v>
      </c>
      <c r="I98" s="21">
        <v>36</v>
      </c>
      <c r="J98" s="21">
        <v>1500</v>
      </c>
      <c r="K98" s="21">
        <v>61.6</v>
      </c>
    </row>
    <row r="99" spans="1:11" x14ac:dyDescent="0.3">
      <c r="A99" s="49">
        <v>0</v>
      </c>
      <c r="B99" s="257" t="s">
        <v>508</v>
      </c>
      <c r="C99" s="257" t="s">
        <v>268</v>
      </c>
      <c r="D99" s="148" t="s">
        <v>277</v>
      </c>
      <c r="E99" s="46">
        <v>111</v>
      </c>
      <c r="F99" s="149">
        <v>28622</v>
      </c>
      <c r="G99" s="21">
        <v>176</v>
      </c>
      <c r="H99" s="21">
        <v>68</v>
      </c>
      <c r="I99" s="258">
        <v>45</v>
      </c>
      <c r="J99" s="258">
        <v>1400</v>
      </c>
      <c r="K99" s="258">
        <v>68.2</v>
      </c>
    </row>
    <row r="100" spans="1:11" x14ac:dyDescent="0.3">
      <c r="A100" s="49">
        <v>0</v>
      </c>
      <c r="B100" s="257" t="s">
        <v>509</v>
      </c>
      <c r="C100" s="257" t="s">
        <v>510</v>
      </c>
      <c r="D100" s="148" t="s">
        <v>277</v>
      </c>
      <c r="E100" s="46">
        <v>211</v>
      </c>
      <c r="F100" s="149">
        <v>28624</v>
      </c>
      <c r="G100" s="21">
        <v>185</v>
      </c>
      <c r="H100" s="21">
        <v>76</v>
      </c>
      <c r="I100" s="21">
        <v>36</v>
      </c>
      <c r="J100" s="21">
        <v>1200</v>
      </c>
      <c r="K100" s="21">
        <v>43.2</v>
      </c>
    </row>
    <row r="101" spans="1:11" x14ac:dyDescent="0.3">
      <c r="A101" s="49">
        <v>1</v>
      </c>
      <c r="B101" s="257" t="s">
        <v>252</v>
      </c>
      <c r="C101" s="257" t="s">
        <v>195</v>
      </c>
      <c r="D101" s="148" t="s">
        <v>276</v>
      </c>
      <c r="E101" s="46">
        <v>201</v>
      </c>
      <c r="F101" s="149">
        <v>26879</v>
      </c>
      <c r="G101" s="21">
        <v>185</v>
      </c>
      <c r="H101" s="21">
        <v>75</v>
      </c>
      <c r="I101" s="258">
        <v>34</v>
      </c>
      <c r="J101" s="258">
        <v>1300</v>
      </c>
      <c r="K101" s="258">
        <v>35.4</v>
      </c>
    </row>
    <row r="102" spans="1:11" x14ac:dyDescent="0.3">
      <c r="A102" s="49">
        <v>0</v>
      </c>
      <c r="B102" s="257" t="s">
        <v>512</v>
      </c>
      <c r="C102" s="257" t="s">
        <v>513</v>
      </c>
      <c r="D102" s="148" t="s">
        <v>276</v>
      </c>
      <c r="E102" s="46">
        <v>211</v>
      </c>
      <c r="F102" s="149">
        <v>28397</v>
      </c>
      <c r="G102" s="21">
        <v>180</v>
      </c>
      <c r="H102" s="21">
        <v>78</v>
      </c>
      <c r="I102" s="21">
        <v>66</v>
      </c>
      <c r="J102" s="21">
        <v>1400</v>
      </c>
      <c r="K102" s="21">
        <v>46.9</v>
      </c>
    </row>
    <row r="103" spans="1:11" x14ac:dyDescent="0.3">
      <c r="A103" s="49">
        <v>1</v>
      </c>
      <c r="B103" s="257" t="s">
        <v>515</v>
      </c>
      <c r="C103" s="257" t="s">
        <v>386</v>
      </c>
      <c r="D103" s="148" t="s">
        <v>276</v>
      </c>
      <c r="E103" s="46">
        <v>111</v>
      </c>
      <c r="F103" s="149">
        <v>29103</v>
      </c>
      <c r="G103" s="21">
        <v>180</v>
      </c>
      <c r="H103" s="21">
        <v>80</v>
      </c>
      <c r="I103" s="258">
        <v>29</v>
      </c>
      <c r="J103" s="258">
        <v>1200</v>
      </c>
      <c r="K103" s="258">
        <v>41.9</v>
      </c>
    </row>
    <row r="104" spans="1:11" x14ac:dyDescent="0.3">
      <c r="A104" s="49">
        <v>1</v>
      </c>
      <c r="B104" s="257" t="s">
        <v>517</v>
      </c>
      <c r="C104" s="257" t="s">
        <v>518</v>
      </c>
      <c r="D104" s="21" t="s">
        <v>278</v>
      </c>
      <c r="E104" s="46">
        <v>111</v>
      </c>
      <c r="F104" s="110">
        <v>28197</v>
      </c>
      <c r="G104" s="21">
        <v>182</v>
      </c>
      <c r="H104" s="258">
        <v>55</v>
      </c>
      <c r="I104" s="21">
        <v>36</v>
      </c>
      <c r="J104" s="21">
        <v>1400</v>
      </c>
      <c r="K104" s="21">
        <v>54.2</v>
      </c>
    </row>
    <row r="105" spans="1:11" x14ac:dyDescent="0.3">
      <c r="A105" s="49">
        <v>1</v>
      </c>
      <c r="B105" s="257" t="s">
        <v>519</v>
      </c>
      <c r="C105" s="257" t="s">
        <v>266</v>
      </c>
      <c r="D105" s="21" t="s">
        <v>276</v>
      </c>
      <c r="E105" s="46">
        <v>201</v>
      </c>
      <c r="F105" s="110">
        <v>27496</v>
      </c>
      <c r="G105" s="21">
        <v>178</v>
      </c>
      <c r="H105" s="258">
        <v>69</v>
      </c>
      <c r="I105" s="21">
        <v>29</v>
      </c>
      <c r="J105" s="21">
        <v>1300</v>
      </c>
      <c r="K105" s="21">
        <v>54</v>
      </c>
    </row>
    <row r="106" spans="1:11" x14ac:dyDescent="0.3">
      <c r="A106" s="49">
        <v>1</v>
      </c>
      <c r="B106" s="257" t="s">
        <v>521</v>
      </c>
      <c r="C106" s="257" t="s">
        <v>386</v>
      </c>
      <c r="D106" s="21" t="s">
        <v>276</v>
      </c>
      <c r="E106" s="46">
        <v>111</v>
      </c>
      <c r="F106" s="110">
        <v>26879</v>
      </c>
      <c r="G106" s="21">
        <v>185</v>
      </c>
      <c r="H106" s="21">
        <v>75</v>
      </c>
      <c r="I106" s="21">
        <v>45</v>
      </c>
      <c r="J106" s="21">
        <v>1400</v>
      </c>
      <c r="K106" s="21">
        <v>67.5</v>
      </c>
    </row>
    <row r="107" spans="1:11" x14ac:dyDescent="0.3">
      <c r="A107" s="49">
        <v>1</v>
      </c>
      <c r="B107" s="257" t="s">
        <v>522</v>
      </c>
      <c r="C107" s="257" t="s">
        <v>429</v>
      </c>
      <c r="D107" s="21" t="s">
        <v>278</v>
      </c>
      <c r="E107" s="46">
        <v>311</v>
      </c>
      <c r="F107" s="110">
        <v>28614</v>
      </c>
      <c r="G107" s="21">
        <v>185</v>
      </c>
      <c r="H107" s="258">
        <v>78</v>
      </c>
      <c r="I107" s="21">
        <v>36</v>
      </c>
      <c r="J107" s="21">
        <v>1600</v>
      </c>
      <c r="K107" s="21">
        <v>105</v>
      </c>
    </row>
    <row r="108" spans="1:11" x14ac:dyDescent="0.3">
      <c r="A108" s="49">
        <v>1</v>
      </c>
      <c r="B108" s="257" t="s">
        <v>524</v>
      </c>
      <c r="C108" s="257" t="s">
        <v>525</v>
      </c>
      <c r="D108" s="21" t="s">
        <v>279</v>
      </c>
      <c r="E108" s="46">
        <v>111</v>
      </c>
      <c r="F108" s="110">
        <v>28725</v>
      </c>
      <c r="G108" s="21">
        <v>174</v>
      </c>
      <c r="H108" s="21">
        <v>56</v>
      </c>
      <c r="I108" s="21">
        <v>66</v>
      </c>
      <c r="J108" s="21">
        <v>1400</v>
      </c>
      <c r="K108" s="21">
        <v>46.9</v>
      </c>
    </row>
    <row r="109" spans="1:11" x14ac:dyDescent="0.3">
      <c r="A109" s="49">
        <v>0</v>
      </c>
      <c r="B109" s="257" t="s">
        <v>526</v>
      </c>
      <c r="C109" s="257" t="s">
        <v>268</v>
      </c>
      <c r="D109" s="21" t="s">
        <v>281</v>
      </c>
      <c r="E109" s="46">
        <v>211</v>
      </c>
      <c r="F109" s="110">
        <v>28271</v>
      </c>
      <c r="G109" s="21">
        <v>152</v>
      </c>
      <c r="H109" s="258">
        <v>65</v>
      </c>
      <c r="I109" s="21">
        <v>75</v>
      </c>
      <c r="J109" s="21">
        <v>1300</v>
      </c>
      <c r="K109" s="21">
        <v>79.2</v>
      </c>
    </row>
    <row r="110" spans="1:11" x14ac:dyDescent="0.3">
      <c r="A110" s="49">
        <v>1</v>
      </c>
      <c r="B110" s="257" t="s">
        <v>527</v>
      </c>
      <c r="C110" s="257" t="s">
        <v>195</v>
      </c>
      <c r="D110" s="21" t="s">
        <v>277</v>
      </c>
      <c r="E110" s="46">
        <v>311</v>
      </c>
      <c r="F110" s="110">
        <v>28160</v>
      </c>
      <c r="G110" s="21">
        <v>179</v>
      </c>
      <c r="H110" s="258">
        <v>78</v>
      </c>
      <c r="I110" s="21">
        <v>36</v>
      </c>
      <c r="J110" s="21">
        <v>1600</v>
      </c>
      <c r="K110" s="21">
        <v>105</v>
      </c>
    </row>
    <row r="111" spans="1:11" x14ac:dyDescent="0.3">
      <c r="A111" s="49">
        <v>1</v>
      </c>
      <c r="B111" s="257" t="s">
        <v>529</v>
      </c>
      <c r="C111" s="257" t="s">
        <v>530</v>
      </c>
      <c r="D111" s="21" t="s">
        <v>276</v>
      </c>
      <c r="E111" s="46">
        <v>111</v>
      </c>
      <c r="F111" s="110">
        <v>29103</v>
      </c>
      <c r="G111" s="21">
        <v>180</v>
      </c>
      <c r="H111" s="258">
        <v>80</v>
      </c>
      <c r="I111" s="21">
        <v>52</v>
      </c>
      <c r="J111" s="21">
        <v>1400</v>
      </c>
      <c r="K111" s="21">
        <v>73.7</v>
      </c>
    </row>
    <row r="112" spans="1:11" x14ac:dyDescent="0.3">
      <c r="A112" s="49">
        <v>1</v>
      </c>
      <c r="B112" s="257" t="s">
        <v>532</v>
      </c>
      <c r="C112" s="257" t="s">
        <v>533</v>
      </c>
      <c r="D112" s="21" t="s">
        <v>277</v>
      </c>
      <c r="E112" s="46">
        <v>211</v>
      </c>
      <c r="F112" s="110">
        <v>26912</v>
      </c>
      <c r="G112" s="21">
        <v>180</v>
      </c>
      <c r="H112" s="258">
        <v>78</v>
      </c>
      <c r="I112" s="21">
        <v>64</v>
      </c>
      <c r="J112" s="21">
        <v>1100</v>
      </c>
      <c r="K112" s="21">
        <v>83.2</v>
      </c>
    </row>
    <row r="113" spans="1:11" x14ac:dyDescent="0.3">
      <c r="A113" s="49">
        <v>0</v>
      </c>
      <c r="B113" s="257" t="s">
        <v>534</v>
      </c>
      <c r="C113" s="257" t="s">
        <v>535</v>
      </c>
      <c r="D113" s="21" t="s">
        <v>276</v>
      </c>
      <c r="E113" s="46">
        <v>201</v>
      </c>
      <c r="F113" s="110">
        <v>28397</v>
      </c>
      <c r="G113" s="21">
        <v>180</v>
      </c>
      <c r="H113" s="258">
        <v>78</v>
      </c>
      <c r="I113" s="21">
        <v>75</v>
      </c>
      <c r="J113" s="21">
        <v>1300</v>
      </c>
      <c r="K113" s="21">
        <v>79.2</v>
      </c>
    </row>
    <row r="114" spans="1:11" x14ac:dyDescent="0.3">
      <c r="A114" s="49">
        <v>1</v>
      </c>
      <c r="B114" s="257" t="s">
        <v>536</v>
      </c>
      <c r="C114" s="257" t="s">
        <v>485</v>
      </c>
      <c r="D114" s="21" t="s">
        <v>279</v>
      </c>
      <c r="E114" s="46">
        <v>211</v>
      </c>
      <c r="F114" s="110">
        <v>28725</v>
      </c>
      <c r="G114" s="21">
        <v>170</v>
      </c>
      <c r="H114" s="21">
        <v>56</v>
      </c>
      <c r="I114" s="21">
        <v>52</v>
      </c>
      <c r="J114" s="21">
        <v>1400</v>
      </c>
      <c r="K114" s="21">
        <v>73.7</v>
      </c>
    </row>
    <row r="115" spans="1:11" x14ac:dyDescent="0.3">
      <c r="A115" s="49">
        <v>0</v>
      </c>
      <c r="B115" s="257" t="s">
        <v>537</v>
      </c>
      <c r="C115" s="257" t="s">
        <v>538</v>
      </c>
      <c r="D115" s="21" t="s">
        <v>277</v>
      </c>
      <c r="E115" s="46">
        <v>111</v>
      </c>
      <c r="F115" s="110">
        <v>28622</v>
      </c>
      <c r="G115" s="21">
        <v>175</v>
      </c>
      <c r="H115" s="258">
        <v>68</v>
      </c>
      <c r="I115" s="258">
        <v>34</v>
      </c>
      <c r="J115" s="258">
        <v>1100</v>
      </c>
      <c r="K115" s="258">
        <v>54.6</v>
      </c>
    </row>
    <row r="116" spans="1:11" x14ac:dyDescent="0.3">
      <c r="A116" s="49">
        <v>1</v>
      </c>
      <c r="B116" s="257" t="s">
        <v>540</v>
      </c>
      <c r="C116" s="257" t="s">
        <v>482</v>
      </c>
      <c r="D116" s="21" t="s">
        <v>622</v>
      </c>
      <c r="E116" s="46">
        <v>111</v>
      </c>
      <c r="F116" s="149">
        <v>28564</v>
      </c>
      <c r="G116" s="21">
        <v>182</v>
      </c>
      <c r="H116" s="21">
        <v>76</v>
      </c>
      <c r="I116" s="21">
        <v>44</v>
      </c>
      <c r="J116" s="21">
        <v>1500</v>
      </c>
      <c r="K116" s="21">
        <v>46.4</v>
      </c>
    </row>
    <row r="117" spans="1:11" x14ac:dyDescent="0.3">
      <c r="A117" s="49">
        <v>1</v>
      </c>
      <c r="B117" s="257" t="s">
        <v>541</v>
      </c>
      <c r="C117" s="257" t="s">
        <v>425</v>
      </c>
      <c r="D117" s="21" t="s">
        <v>277</v>
      </c>
      <c r="E117" s="46">
        <v>201</v>
      </c>
      <c r="F117" s="149">
        <v>28725</v>
      </c>
      <c r="G117" s="21">
        <v>175</v>
      </c>
      <c r="H117" s="21">
        <v>56</v>
      </c>
      <c r="I117" s="21">
        <v>31</v>
      </c>
      <c r="J117" s="21">
        <v>1500</v>
      </c>
      <c r="K117" s="21">
        <v>40.299999999999997</v>
      </c>
    </row>
    <row r="118" spans="1:11" x14ac:dyDescent="0.3">
      <c r="A118" s="49">
        <v>1</v>
      </c>
      <c r="B118" s="257" t="s">
        <v>542</v>
      </c>
      <c r="C118" s="257" t="s">
        <v>543</v>
      </c>
      <c r="D118" s="148" t="s">
        <v>279</v>
      </c>
      <c r="E118" s="46">
        <v>111</v>
      </c>
      <c r="F118" s="149">
        <v>26912</v>
      </c>
      <c r="G118" s="21">
        <v>180</v>
      </c>
      <c r="H118" s="21">
        <v>78</v>
      </c>
      <c r="I118" s="21">
        <v>64</v>
      </c>
      <c r="J118" s="21">
        <v>1100</v>
      </c>
      <c r="K118" s="21">
        <v>83.2</v>
      </c>
    </row>
    <row r="119" spans="1:11" x14ac:dyDescent="0.3">
      <c r="A119" s="49">
        <v>1</v>
      </c>
      <c r="B119" s="257" t="s">
        <v>545</v>
      </c>
      <c r="C119" s="257" t="s">
        <v>201</v>
      </c>
      <c r="D119" s="148" t="s">
        <v>279</v>
      </c>
      <c r="E119" s="46">
        <v>555</v>
      </c>
      <c r="F119" s="149">
        <v>28622</v>
      </c>
      <c r="G119" s="21">
        <v>176</v>
      </c>
      <c r="H119" s="21">
        <v>68</v>
      </c>
      <c r="I119" s="21">
        <v>22</v>
      </c>
      <c r="J119" s="21">
        <v>1200</v>
      </c>
      <c r="K119" s="21">
        <v>72.8</v>
      </c>
    </row>
    <row r="120" spans="1:11" x14ac:dyDescent="0.3">
      <c r="A120" s="49">
        <v>1</v>
      </c>
      <c r="B120" s="257" t="s">
        <v>547</v>
      </c>
      <c r="C120" s="257" t="s">
        <v>548</v>
      </c>
      <c r="D120" s="148" t="s">
        <v>277</v>
      </c>
      <c r="E120" s="46">
        <v>111</v>
      </c>
      <c r="F120" s="149">
        <v>28624</v>
      </c>
      <c r="G120" s="21">
        <v>185</v>
      </c>
      <c r="H120" s="21">
        <v>76</v>
      </c>
      <c r="I120" s="21">
        <v>31</v>
      </c>
      <c r="J120" s="21">
        <v>1500</v>
      </c>
      <c r="K120" s="21">
        <v>40.299999999999997</v>
      </c>
    </row>
    <row r="121" spans="1:11" x14ac:dyDescent="0.3">
      <c r="A121" s="49">
        <v>1</v>
      </c>
      <c r="B121" s="257" t="s">
        <v>549</v>
      </c>
      <c r="C121" s="257" t="s">
        <v>550</v>
      </c>
      <c r="D121" s="148" t="s">
        <v>277</v>
      </c>
      <c r="E121" s="46">
        <v>211</v>
      </c>
      <c r="F121" s="149">
        <v>26879</v>
      </c>
      <c r="G121" s="21">
        <v>185</v>
      </c>
      <c r="H121" s="21">
        <v>75</v>
      </c>
      <c r="I121" s="21">
        <v>29</v>
      </c>
      <c r="J121" s="21">
        <v>1300</v>
      </c>
      <c r="K121" s="21">
        <v>54</v>
      </c>
    </row>
    <row r="122" spans="1:11" x14ac:dyDescent="0.3">
      <c r="A122" s="49">
        <v>1</v>
      </c>
      <c r="B122" s="257" t="s">
        <v>551</v>
      </c>
      <c r="C122" s="257" t="s">
        <v>533</v>
      </c>
      <c r="D122" s="148" t="s">
        <v>277</v>
      </c>
      <c r="E122" s="46">
        <v>311</v>
      </c>
      <c r="F122" s="149">
        <v>28397</v>
      </c>
      <c r="G122" s="21">
        <v>180</v>
      </c>
      <c r="H122" s="21">
        <v>78</v>
      </c>
      <c r="I122" s="258">
        <v>56</v>
      </c>
      <c r="J122" s="258">
        <v>1200</v>
      </c>
      <c r="K122" s="258">
        <v>74.2</v>
      </c>
    </row>
    <row r="123" spans="1:11" x14ac:dyDescent="0.3">
      <c r="A123" s="49">
        <v>1</v>
      </c>
      <c r="B123" s="257" t="s">
        <v>552</v>
      </c>
      <c r="C123" s="257" t="s">
        <v>195</v>
      </c>
      <c r="D123" s="148" t="s">
        <v>276</v>
      </c>
      <c r="E123" s="46">
        <v>111</v>
      </c>
      <c r="F123" s="149">
        <v>29103</v>
      </c>
      <c r="G123" s="21">
        <v>180</v>
      </c>
      <c r="H123" s="21">
        <v>80</v>
      </c>
      <c r="I123" s="21">
        <v>36</v>
      </c>
      <c r="J123" s="21">
        <v>1500</v>
      </c>
      <c r="K123" s="21">
        <v>61.6</v>
      </c>
    </row>
    <row r="124" spans="1:11" x14ac:dyDescent="0.3">
      <c r="A124" s="49">
        <v>1</v>
      </c>
      <c r="B124" s="257" t="s">
        <v>554</v>
      </c>
      <c r="C124" s="257" t="s">
        <v>464</v>
      </c>
      <c r="D124" s="148" t="s">
        <v>276</v>
      </c>
      <c r="E124" s="46">
        <v>211</v>
      </c>
      <c r="F124" s="110">
        <v>28197</v>
      </c>
      <c r="G124" s="21">
        <v>182</v>
      </c>
      <c r="H124" s="258">
        <v>55</v>
      </c>
      <c r="I124" s="21">
        <v>36</v>
      </c>
      <c r="J124" s="21">
        <v>1500</v>
      </c>
      <c r="K124" s="21">
        <v>61.6</v>
      </c>
    </row>
    <row r="125" spans="1:11" x14ac:dyDescent="0.3">
      <c r="A125" s="49">
        <v>0</v>
      </c>
      <c r="B125" s="257" t="s">
        <v>556</v>
      </c>
      <c r="C125" s="257" t="s">
        <v>513</v>
      </c>
      <c r="D125" s="148" t="s">
        <v>276</v>
      </c>
      <c r="E125" s="46">
        <v>201</v>
      </c>
      <c r="F125" s="110">
        <v>27496</v>
      </c>
      <c r="G125" s="21">
        <v>178</v>
      </c>
      <c r="H125" s="258">
        <v>69</v>
      </c>
      <c r="I125" s="258">
        <v>45</v>
      </c>
      <c r="J125" s="258">
        <v>1400</v>
      </c>
      <c r="K125" s="258">
        <v>68.2</v>
      </c>
    </row>
    <row r="126" spans="1:11" x14ac:dyDescent="0.3">
      <c r="A126" s="49">
        <v>1</v>
      </c>
      <c r="B126" s="257" t="s">
        <v>557</v>
      </c>
      <c r="C126" s="257" t="s">
        <v>485</v>
      </c>
      <c r="D126" s="21" t="s">
        <v>278</v>
      </c>
      <c r="E126" s="46">
        <v>211</v>
      </c>
      <c r="F126" s="110">
        <v>26879</v>
      </c>
      <c r="G126" s="21">
        <v>185</v>
      </c>
      <c r="H126" s="21">
        <v>75</v>
      </c>
      <c r="I126" s="21">
        <v>36</v>
      </c>
      <c r="J126" s="21">
        <v>1200</v>
      </c>
      <c r="K126" s="21">
        <v>43.2</v>
      </c>
    </row>
    <row r="127" spans="1:11" ht="15" thickBot="1" x14ac:dyDescent="0.35">
      <c r="A127" s="265">
        <v>1</v>
      </c>
      <c r="B127" s="261" t="s">
        <v>558</v>
      </c>
      <c r="C127" s="261" t="s">
        <v>559</v>
      </c>
      <c r="D127" s="260" t="s">
        <v>276</v>
      </c>
      <c r="E127" s="267">
        <v>111</v>
      </c>
      <c r="F127" s="263">
        <v>28614</v>
      </c>
      <c r="G127" s="260">
        <v>185</v>
      </c>
      <c r="H127" s="264">
        <v>78</v>
      </c>
      <c r="I127" s="264">
        <v>34</v>
      </c>
      <c r="J127" s="264">
        <v>1300</v>
      </c>
      <c r="K127" s="264">
        <v>35.4</v>
      </c>
    </row>
    <row r="128" spans="1:11" x14ac:dyDescent="0.3">
      <c r="F128" s="28"/>
      <c r="H128" s="141"/>
    </row>
    <row r="129" spans="1:11" ht="86.25" customHeight="1" x14ac:dyDescent="0.3">
      <c r="A129" s="301" t="s">
        <v>1175</v>
      </c>
      <c r="B129" s="301"/>
      <c r="C129" s="301"/>
      <c r="D129" s="301"/>
      <c r="E129" s="301"/>
      <c r="F129" s="301"/>
      <c r="G129" s="301"/>
      <c r="H129" s="301"/>
      <c r="I129" s="301"/>
      <c r="J129" s="301"/>
      <c r="K129" s="301"/>
    </row>
  </sheetData>
  <mergeCells count="1">
    <mergeCell ref="A129:K129"/>
  </mergeCells>
  <dataValidations count="3">
    <dataValidation type="list" allowBlank="1" showInputMessage="1" showErrorMessage="1" sqref="E4:E32 E128">
      <formula1>"101,111,201,211,311"</formula1>
    </dataValidation>
    <dataValidation type="whole" allowBlank="1" showInputMessage="1" showErrorMessage="1" errorTitle="Chybná výška!!!" error="Zadej hodnotu 100 cm - 190 cm" promptTitle="Zadej výšku" prompt="Můžete zadat celočíselnou hodnotu od 150 cm do 190 cm." sqref="G4:G32 G128">
      <formula1>150</formula1>
      <formula2>190</formula2>
    </dataValidation>
    <dataValidation type="whole" allowBlank="1" showInputMessage="1" showErrorMessage="1" sqref="H4:H32 H128">
      <formula1>50</formula1>
      <formula2>100</formula2>
    </dataValidation>
  </dataValidations>
  <hyperlinks>
    <hyperlink ref="N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rgb="FFFFFF00"/>
  </sheetPr>
  <dimension ref="A1:P27"/>
  <sheetViews>
    <sheetView topLeftCell="A10" workbookViewId="0">
      <selection activeCell="P1" sqref="P1"/>
    </sheetView>
  </sheetViews>
  <sheetFormatPr defaultRowHeight="14.4" x14ac:dyDescent="0.3"/>
  <sheetData>
    <row r="1" spans="1:16" ht="25.8" x14ac:dyDescent="0.5">
      <c r="A1" s="184" t="s">
        <v>880</v>
      </c>
      <c r="P1" s="182" t="s">
        <v>1148</v>
      </c>
    </row>
    <row r="2" spans="1:16" ht="19.8" x14ac:dyDescent="0.4">
      <c r="A2" s="185" t="s">
        <v>881</v>
      </c>
    </row>
    <row r="3" spans="1:16" x14ac:dyDescent="0.3">
      <c r="B3" s="186">
        <v>1</v>
      </c>
      <c r="C3" s="186">
        <v>2</v>
      </c>
      <c r="D3" s="186">
        <v>3</v>
      </c>
      <c r="E3" s="186"/>
      <c r="F3" s="186"/>
      <c r="G3" s="186"/>
      <c r="H3" s="186"/>
      <c r="I3" s="186"/>
      <c r="J3" s="186"/>
    </row>
    <row r="4" spans="1:16" x14ac:dyDescent="0.3">
      <c r="B4" s="186">
        <v>4</v>
      </c>
      <c r="C4" s="109">
        <v>5</v>
      </c>
      <c r="D4" s="186">
        <v>6</v>
      </c>
      <c r="E4" s="186"/>
      <c r="F4" s="186"/>
      <c r="G4" s="186"/>
      <c r="H4" s="186"/>
      <c r="I4" s="186"/>
      <c r="J4" s="186"/>
    </row>
    <row r="5" spans="1:16" x14ac:dyDescent="0.3">
      <c r="B5" s="186">
        <v>7</v>
      </c>
      <c r="C5" s="186">
        <v>8</v>
      </c>
      <c r="D5" s="186">
        <v>9</v>
      </c>
      <c r="E5" s="186"/>
      <c r="F5" s="187">
        <f>SUM(C3:C5 B4:D4)</f>
        <v>5</v>
      </c>
      <c r="G5" s="188" t="s">
        <v>882</v>
      </c>
      <c r="H5" s="189"/>
      <c r="I5" s="186"/>
      <c r="J5" s="186"/>
    </row>
    <row r="9" spans="1:16" x14ac:dyDescent="0.3">
      <c r="B9" s="190">
        <v>1</v>
      </c>
      <c r="C9" s="190">
        <v>2</v>
      </c>
      <c r="D9" s="190">
        <v>3</v>
      </c>
      <c r="E9" s="190">
        <v>4</v>
      </c>
      <c r="F9" s="190">
        <v>5</v>
      </c>
      <c r="G9" s="190">
        <v>6</v>
      </c>
    </row>
    <row r="10" spans="1:16" x14ac:dyDescent="0.3">
      <c r="B10" s="190">
        <v>7</v>
      </c>
      <c r="C10" s="190">
        <v>8</v>
      </c>
      <c r="D10" s="109">
        <v>9</v>
      </c>
      <c r="E10" s="109">
        <v>10</v>
      </c>
      <c r="F10" s="190">
        <v>11</v>
      </c>
      <c r="G10" s="190">
        <v>12</v>
      </c>
    </row>
    <row r="11" spans="1:16" x14ac:dyDescent="0.3">
      <c r="B11" s="190">
        <v>13</v>
      </c>
      <c r="C11" s="190">
        <v>14</v>
      </c>
      <c r="D11" s="109">
        <v>15</v>
      </c>
      <c r="E11" s="109">
        <v>16</v>
      </c>
      <c r="F11" s="190">
        <v>17</v>
      </c>
      <c r="G11" s="190">
        <v>18</v>
      </c>
    </row>
    <row r="12" spans="1:16" x14ac:dyDescent="0.3">
      <c r="B12" s="190">
        <v>19</v>
      </c>
      <c r="C12" s="190">
        <v>20</v>
      </c>
      <c r="D12" s="190">
        <v>21</v>
      </c>
      <c r="E12" s="190">
        <v>22</v>
      </c>
      <c r="F12" s="190">
        <v>23</v>
      </c>
      <c r="G12" s="190">
        <v>24</v>
      </c>
    </row>
    <row r="13" spans="1:16" x14ac:dyDescent="0.3">
      <c r="B13" s="190"/>
      <c r="C13" s="190"/>
      <c r="D13" s="190"/>
      <c r="E13" s="190"/>
      <c r="F13" s="190"/>
      <c r="G13" s="190"/>
    </row>
    <row r="14" spans="1:16" x14ac:dyDescent="0.3">
      <c r="B14" s="187">
        <f>SUM(D9:E12 B10:G11)</f>
        <v>50</v>
      </c>
      <c r="C14" s="189" t="s">
        <v>883</v>
      </c>
      <c r="D14" s="189"/>
      <c r="E14" s="188"/>
      <c r="F14" s="189"/>
      <c r="G14" s="190"/>
    </row>
    <row r="16" spans="1:16" ht="19.8" x14ac:dyDescent="0.4">
      <c r="A16" s="185" t="s">
        <v>884</v>
      </c>
    </row>
    <row r="17" spans="2:10" x14ac:dyDescent="0.3">
      <c r="B17" s="109">
        <v>1</v>
      </c>
      <c r="C17">
        <v>2</v>
      </c>
      <c r="D17" s="109">
        <v>3</v>
      </c>
    </row>
    <row r="18" spans="2:10" x14ac:dyDescent="0.3">
      <c r="B18" s="109">
        <v>4</v>
      </c>
      <c r="C18" s="141">
        <v>5</v>
      </c>
      <c r="D18" s="109">
        <v>6</v>
      </c>
    </row>
    <row r="19" spans="2:10" x14ac:dyDescent="0.3">
      <c r="B19" s="109">
        <v>7</v>
      </c>
      <c r="C19">
        <v>8</v>
      </c>
      <c r="D19" s="109">
        <v>9</v>
      </c>
    </row>
    <row r="20" spans="2:10" x14ac:dyDescent="0.3">
      <c r="B20" s="187">
        <f>SUM(B17:B19,D17:D19)</f>
        <v>30</v>
      </c>
      <c r="C20" s="189" t="s">
        <v>885</v>
      </c>
      <c r="D20" s="189"/>
      <c r="E20" s="188"/>
      <c r="F20" s="189"/>
    </row>
    <row r="23" spans="2:10" x14ac:dyDescent="0.3">
      <c r="B23" s="109">
        <v>1</v>
      </c>
      <c r="C23" s="109">
        <v>2</v>
      </c>
      <c r="D23" s="109">
        <v>3</v>
      </c>
      <c r="E23" s="109">
        <v>4</v>
      </c>
      <c r="F23" s="109">
        <v>5</v>
      </c>
      <c r="G23" s="109">
        <v>6</v>
      </c>
    </row>
    <row r="24" spans="2:10" x14ac:dyDescent="0.3">
      <c r="B24" s="109">
        <v>7</v>
      </c>
      <c r="C24">
        <v>8</v>
      </c>
      <c r="D24" s="141">
        <v>9</v>
      </c>
      <c r="E24" s="141">
        <v>10</v>
      </c>
      <c r="F24">
        <v>11</v>
      </c>
      <c r="G24">
        <v>12</v>
      </c>
    </row>
    <row r="25" spans="2:10" x14ac:dyDescent="0.3">
      <c r="B25" s="109">
        <v>13</v>
      </c>
      <c r="C25">
        <v>14</v>
      </c>
      <c r="D25" s="141">
        <v>15</v>
      </c>
      <c r="E25" s="141">
        <v>16</v>
      </c>
      <c r="F25">
        <v>17</v>
      </c>
      <c r="G25">
        <v>18</v>
      </c>
    </row>
    <row r="26" spans="2:10" x14ac:dyDescent="0.3">
      <c r="B26" s="109">
        <v>19</v>
      </c>
      <c r="C26">
        <v>20</v>
      </c>
      <c r="D26">
        <v>21</v>
      </c>
      <c r="E26">
        <v>22</v>
      </c>
      <c r="F26">
        <v>23</v>
      </c>
      <c r="G26">
        <v>24</v>
      </c>
    </row>
    <row r="27" spans="2:10" x14ac:dyDescent="0.3">
      <c r="B27" s="187">
        <f>SUM(B23:B26,C23:G23)</f>
        <v>60</v>
      </c>
      <c r="C27" s="187" t="s">
        <v>886</v>
      </c>
      <c r="D27" s="187"/>
      <c r="F27" s="191" t="s">
        <v>887</v>
      </c>
      <c r="G27" s="191"/>
      <c r="H27" s="191"/>
      <c r="I27" s="191"/>
      <c r="J27" s="191"/>
    </row>
  </sheetData>
  <hyperlinks>
    <hyperlink ref="P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FF00"/>
  </sheetPr>
  <dimension ref="A1:M6"/>
  <sheetViews>
    <sheetView workbookViewId="0">
      <selection activeCell="M1" sqref="M1"/>
    </sheetView>
  </sheetViews>
  <sheetFormatPr defaultRowHeight="14.4" x14ac:dyDescent="0.3"/>
  <cols>
    <col min="3" max="3" width="9.109375" customWidth="1"/>
    <col min="4" max="4" width="22" customWidth="1"/>
    <col min="8" max="8" width="20.44140625" customWidth="1"/>
  </cols>
  <sheetData>
    <row r="1" spans="1:13" ht="25.8" x14ac:dyDescent="0.5">
      <c r="A1" s="192" t="s">
        <v>888</v>
      </c>
      <c r="M1" s="182" t="s">
        <v>1148</v>
      </c>
    </row>
    <row r="3" spans="1:13" x14ac:dyDescent="0.3">
      <c r="B3">
        <v>10</v>
      </c>
      <c r="C3" s="111">
        <f>B3^2</f>
        <v>100</v>
      </c>
      <c r="D3" s="111" t="s">
        <v>889</v>
      </c>
      <c r="E3" t="s">
        <v>890</v>
      </c>
      <c r="H3" t="s">
        <v>891</v>
      </c>
      <c r="I3" t="s">
        <v>892</v>
      </c>
    </row>
    <row r="4" spans="1:13" x14ac:dyDescent="0.3">
      <c r="B4">
        <v>2</v>
      </c>
      <c r="C4" s="111">
        <f>POWER(B4,4)</f>
        <v>16</v>
      </c>
      <c r="D4" s="111" t="s">
        <v>893</v>
      </c>
      <c r="E4" t="s">
        <v>894</v>
      </c>
    </row>
    <row r="5" spans="1:13" x14ac:dyDescent="0.3">
      <c r="B5">
        <v>100</v>
      </c>
      <c r="C5" s="111">
        <f>SQRT(B5)</f>
        <v>10</v>
      </c>
      <c r="D5" s="111" t="s">
        <v>895</v>
      </c>
      <c r="E5" t="s">
        <v>896</v>
      </c>
    </row>
    <row r="6" spans="1:13" x14ac:dyDescent="0.3">
      <c r="B6">
        <v>1000</v>
      </c>
      <c r="C6" s="111">
        <f>POWER(B6,1/3)</f>
        <v>9.9999999999999982</v>
      </c>
      <c r="D6" s="111" t="s">
        <v>897</v>
      </c>
      <c r="E6" t="s">
        <v>898</v>
      </c>
    </row>
  </sheetData>
  <hyperlinks>
    <hyperlink ref="M1" location="Obsah!A1" display="Obsah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79</vt:i4>
      </vt:variant>
      <vt:variant>
        <vt:lpstr>Pojmenované oblasti</vt:lpstr>
      </vt:variant>
      <vt:variant>
        <vt:i4>13</vt:i4>
      </vt:variant>
    </vt:vector>
  </HeadingPairs>
  <TitlesOfParts>
    <vt:vector size="92" baseType="lpstr">
      <vt:lpstr>Obsah</vt:lpstr>
      <vt:lpstr>Vzorce a funkce</vt:lpstr>
      <vt:lpstr>odkazy</vt:lpstr>
      <vt:lpstr>řazení II</vt:lpstr>
      <vt:lpstr>řady</vt:lpstr>
      <vt:lpstr>List3</vt:lpstr>
      <vt:lpstr>List5</vt:lpstr>
      <vt:lpstr>Operátory</vt:lpstr>
      <vt:lpstr>mocnina</vt:lpstr>
      <vt:lpstr>Styl buňky</vt:lpstr>
      <vt:lpstr>Styl buňky 2</vt:lpstr>
      <vt:lpstr>Posuvníky (2)</vt:lpstr>
      <vt:lpstr>Práce s daty</vt:lpstr>
      <vt:lpstr>Vlastní formát</vt:lpstr>
      <vt:lpstr>Podmíněné formátování</vt:lpstr>
      <vt:lpstr>List2</vt:lpstr>
      <vt:lpstr>PF2</vt:lpstr>
      <vt:lpstr>Přesun kopie</vt:lpstr>
      <vt:lpstr>Příčky</vt:lpstr>
      <vt:lpstr>Příčky (2)</vt:lpstr>
      <vt:lpstr>Skrýt-Zobrazit</vt:lpstr>
      <vt:lpstr>Vložit jinak (1)</vt:lpstr>
      <vt:lpstr>Vložit jinak (1r)</vt:lpstr>
      <vt:lpstr> Vložit jinak (2)</vt:lpstr>
      <vt:lpstr> Vložit jinak (2r)</vt:lpstr>
      <vt:lpstr>OSVČ_2014</vt:lpstr>
      <vt:lpstr>leden</vt:lpstr>
      <vt:lpstr>únor</vt:lpstr>
      <vt:lpstr>březen</vt:lpstr>
      <vt:lpstr>celkem</vt:lpstr>
      <vt:lpstr>Datumy</vt:lpstr>
      <vt:lpstr>List4</vt:lpstr>
      <vt:lpstr>Text-fce</vt:lpstr>
      <vt:lpstr>Text (2)</vt:lpstr>
      <vt:lpstr>Logické-fce</vt:lpstr>
      <vt:lpstr>Logické-fce (2)</vt:lpstr>
      <vt:lpstr>Podmíněné-fce</vt:lpstr>
      <vt:lpstr>COUNTIF (2)</vt:lpstr>
      <vt:lpstr>Když</vt:lpstr>
      <vt:lpstr>RČ-když</vt:lpstr>
      <vt:lpstr>Zaokrouhli</vt:lpstr>
      <vt:lpstr>Finanční-fce</vt:lpstr>
      <vt:lpstr>Pořadí</vt:lpstr>
      <vt:lpstr>Vyhledávací-fce</vt:lpstr>
      <vt:lpstr>Vnořená_fce</vt:lpstr>
      <vt:lpstr>Kontrola vzorců</vt:lpstr>
      <vt:lpstr>Graf 1</vt:lpstr>
      <vt:lpstr>Porovnání</vt:lpstr>
      <vt:lpstr>Porovnání (2)</vt:lpstr>
      <vt:lpstr>Graf 2</vt:lpstr>
      <vt:lpstr>Graf 3</vt:lpstr>
      <vt:lpstr>Graf 4</vt:lpstr>
      <vt:lpstr>Graf 4 (2)</vt:lpstr>
      <vt:lpstr>Graf 5</vt:lpstr>
      <vt:lpstr>Seznamy</vt:lpstr>
      <vt:lpstr>Ověření</vt:lpstr>
      <vt:lpstr>Řazení</vt:lpstr>
      <vt:lpstr>Filtrování</vt:lpstr>
      <vt:lpstr>Filtrování (2)</vt:lpstr>
      <vt:lpstr>Databáze</vt:lpstr>
      <vt:lpstr>Přehledy</vt:lpstr>
      <vt:lpstr>Přehledy (2)</vt:lpstr>
      <vt:lpstr>Souhrny</vt:lpstr>
      <vt:lpstr>Souhrny (2)</vt:lpstr>
      <vt:lpstr>Import dat</vt:lpstr>
      <vt:lpstr>List1</vt:lpstr>
      <vt:lpstr>KT1</vt:lpstr>
      <vt:lpstr>KT1a</vt:lpstr>
      <vt:lpstr>KT1c</vt:lpstr>
      <vt:lpstr>KT2</vt:lpstr>
      <vt:lpstr>KT2a</vt:lpstr>
      <vt:lpstr>KT3</vt:lpstr>
      <vt:lpstr>KT3a</vt:lpstr>
      <vt:lpstr>KT4</vt:lpstr>
      <vt:lpstr>Graf-porovnání</vt:lpstr>
      <vt:lpstr>Ověření (2)</vt:lpstr>
      <vt:lpstr>Filtrování (3)</vt:lpstr>
      <vt:lpstr>Filtrování (4)</vt:lpstr>
      <vt:lpstr>Souhrn dat</vt:lpstr>
      <vt:lpstr>DPH</vt:lpstr>
      <vt:lpstr>DPHn</vt:lpstr>
      <vt:lpstr>Databáze!Extrakce</vt:lpstr>
      <vt:lpstr>'KT3'!Extrakce</vt:lpstr>
      <vt:lpstr>'Logické-fce (2)'!Hranice</vt:lpstr>
      <vt:lpstr>Hranice</vt:lpstr>
      <vt:lpstr>Databáze!Kriteria</vt:lpstr>
      <vt:lpstr>Filtrování!Kriteria</vt:lpstr>
      <vt:lpstr>'Filtrování (2)'!Kriteria</vt:lpstr>
      <vt:lpstr>'KT3'!Kriteria</vt:lpstr>
      <vt:lpstr>'Logické-fce (2)'!Plán</vt:lpstr>
      <vt:lpstr>Plán</vt:lpstr>
      <vt:lpstr>platy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2018-03-04T20:15:32Z</dcterms:created>
  <dcterms:modified xsi:type="dcterms:W3CDTF">2023-02-07T23:59:26Z</dcterms:modified>
</cp:coreProperties>
</file>